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1850"/>
  </bookViews>
  <sheets>
    <sheet name="лист 1" sheetId="2" r:id="rId1"/>
    <sheet name="Лист1" sheetId="3" r:id="rId2"/>
  </sheets>
  <externalReferences>
    <externalReference r:id="rId3"/>
  </externalReferences>
  <definedNames>
    <definedName name="_xlnm._FilterDatabase" localSheetId="0" hidden="1">'лист 1'!$A$6:$J$554</definedName>
    <definedName name="_xlnm.Print_Area" localSheetId="0">'лист 1'!$A$1:$G$557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24" i="2" l="1"/>
  <c r="G523" i="2" l="1"/>
  <c r="G525" i="2"/>
  <c r="G81" i="2" l="1"/>
  <c r="G111" i="2" l="1"/>
  <c r="G109" i="2"/>
  <c r="G64" i="2"/>
  <c r="G23" i="2"/>
  <c r="G410" i="2" l="1"/>
  <c r="G429" i="2" l="1"/>
  <c r="J429" i="2" s="1"/>
  <c r="G427" i="2"/>
  <c r="J427" i="2" s="1"/>
  <c r="G425" i="2"/>
  <c r="I425" i="2" s="1"/>
  <c r="G423" i="2"/>
  <c r="G422" i="2" s="1"/>
  <c r="G404" i="2"/>
  <c r="I404" i="2" s="1"/>
  <c r="G390" i="2"/>
  <c r="G389" i="2" s="1"/>
  <c r="G388" i="2"/>
  <c r="G387" i="2" s="1"/>
  <c r="G380" i="2"/>
  <c r="G349" i="2"/>
  <c r="J349" i="2" s="1"/>
  <c r="G348" i="2"/>
  <c r="G330" i="2"/>
  <c r="G329" i="2" s="1"/>
  <c r="G299" i="2"/>
  <c r="G297" i="2" s="1"/>
  <c r="G261" i="2"/>
  <c r="G259" i="2"/>
  <c r="G258" i="2" s="1"/>
  <c r="G293" i="2"/>
  <c r="J293" i="2" s="1"/>
  <c r="G251" i="2"/>
  <c r="J251" i="2" s="1"/>
  <c r="G250" i="2"/>
  <c r="J250" i="2" s="1"/>
  <c r="G241" i="2"/>
  <c r="G239" i="2" s="1"/>
  <c r="G209" i="2"/>
  <c r="G208" i="2" s="1"/>
  <c r="G185" i="2"/>
  <c r="G177" i="2"/>
  <c r="G160" i="2"/>
  <c r="G159" i="2" s="1"/>
  <c r="G158" i="2"/>
  <c r="G146" i="2"/>
  <c r="G145" i="2" s="1"/>
  <c r="G139" i="2"/>
  <c r="J139" i="2" s="1"/>
  <c r="G137" i="2"/>
  <c r="G134" i="2"/>
  <c r="J134" i="2" s="1"/>
  <c r="G133" i="2"/>
  <c r="G129" i="2"/>
  <c r="G120" i="2"/>
  <c r="I120" i="2" s="1"/>
  <c r="G104" i="2"/>
  <c r="G103" i="2"/>
  <c r="J103" i="2" s="1"/>
  <c r="G101" i="2"/>
  <c r="G87" i="2"/>
  <c r="G78" i="2"/>
  <c r="G77" i="2" s="1"/>
  <c r="G71" i="2"/>
  <c r="J71" i="2" s="1"/>
  <c r="G68" i="2"/>
  <c r="G38" i="2"/>
  <c r="J38" i="2" s="1"/>
  <c r="G32" i="2"/>
  <c r="J32" i="2" s="1"/>
  <c r="G25" i="2"/>
  <c r="G13" i="2"/>
  <c r="I13" i="2" s="1"/>
  <c r="G512" i="2"/>
  <c r="I512" i="2" s="1"/>
  <c r="G511" i="2"/>
  <c r="J511" i="2" s="1"/>
  <c r="G493" i="2"/>
  <c r="J493" i="2" s="1"/>
  <c r="G458" i="2"/>
  <c r="J458" i="2" s="1"/>
  <c r="G439" i="2"/>
  <c r="G438" i="2" s="1"/>
  <c r="G527" i="2"/>
  <c r="G526" i="2" s="1"/>
  <c r="G460" i="2"/>
  <c r="I460" i="2" s="1"/>
  <c r="G456" i="2"/>
  <c r="I456" i="2" s="1"/>
  <c r="G437" i="2"/>
  <c r="G515" i="2"/>
  <c r="G514" i="2" s="1"/>
  <c r="G534" i="2"/>
  <c r="G533" i="2" s="1"/>
  <c r="G532" i="2" s="1"/>
  <c r="J523" i="2"/>
  <c r="I525" i="2"/>
  <c r="J524" i="2"/>
  <c r="G488" i="2"/>
  <c r="J488" i="2" s="1"/>
  <c r="J553" i="2"/>
  <c r="I553" i="2"/>
  <c r="J552" i="2"/>
  <c r="I552" i="2"/>
  <c r="H552" i="2"/>
  <c r="G552" i="2"/>
  <c r="G551" i="2"/>
  <c r="G549" i="2"/>
  <c r="J548" i="2"/>
  <c r="I548" i="2"/>
  <c r="J547" i="2"/>
  <c r="I547" i="2"/>
  <c r="H547" i="2"/>
  <c r="G547" i="2"/>
  <c r="E547" i="2"/>
  <c r="J546" i="2"/>
  <c r="I546" i="2"/>
  <c r="J545" i="2"/>
  <c r="I545" i="2"/>
  <c r="H545" i="2"/>
  <c r="G545" i="2"/>
  <c r="F545" i="2"/>
  <c r="E545" i="2"/>
  <c r="J544" i="2"/>
  <c r="I544" i="2"/>
  <c r="H544" i="2"/>
  <c r="G544" i="2"/>
  <c r="F544" i="2"/>
  <c r="E544" i="2"/>
  <c r="J543" i="2"/>
  <c r="I543" i="2"/>
  <c r="J542" i="2"/>
  <c r="I542" i="2"/>
  <c r="H542" i="2"/>
  <c r="G542" i="2"/>
  <c r="F542" i="2"/>
  <c r="E542" i="2"/>
  <c r="J541" i="2"/>
  <c r="I541" i="2"/>
  <c r="J540" i="2"/>
  <c r="I540" i="2"/>
  <c r="H540" i="2"/>
  <c r="G540" i="2"/>
  <c r="J539" i="2"/>
  <c r="I539" i="2"/>
  <c r="J538" i="2"/>
  <c r="I538" i="2"/>
  <c r="H538" i="2"/>
  <c r="G538" i="2"/>
  <c r="F538" i="2"/>
  <c r="E538" i="2"/>
  <c r="J537" i="2"/>
  <c r="I537" i="2"/>
  <c r="H537" i="2"/>
  <c r="G537" i="2"/>
  <c r="F537" i="2"/>
  <c r="E537" i="2"/>
  <c r="J536" i="2"/>
  <c r="I536" i="2"/>
  <c r="J535" i="2"/>
  <c r="I535" i="2"/>
  <c r="H535" i="2"/>
  <c r="G535" i="2"/>
  <c r="J534" i="2"/>
  <c r="I534" i="2"/>
  <c r="E534" i="2"/>
  <c r="H532" i="2"/>
  <c r="F532" i="2"/>
  <c r="E532" i="2"/>
  <c r="J531" i="2"/>
  <c r="I531" i="2"/>
  <c r="J530" i="2"/>
  <c r="I530" i="2"/>
  <c r="H530" i="2"/>
  <c r="G530" i="2"/>
  <c r="F530" i="2"/>
  <c r="E530" i="2"/>
  <c r="J529" i="2"/>
  <c r="I529" i="2"/>
  <c r="J528" i="2"/>
  <c r="I528" i="2"/>
  <c r="H528" i="2"/>
  <c r="G528" i="2"/>
  <c r="F528" i="2"/>
  <c r="E528" i="2"/>
  <c r="J525" i="2"/>
  <c r="E525" i="2"/>
  <c r="J521" i="2"/>
  <c r="I521" i="2"/>
  <c r="H520" i="2"/>
  <c r="F520" i="2"/>
  <c r="E520" i="2"/>
  <c r="H519" i="2"/>
  <c r="F519" i="2"/>
  <c r="E519" i="2"/>
  <c r="J518" i="2"/>
  <c r="I518" i="2"/>
  <c r="J517" i="2"/>
  <c r="I517" i="2"/>
  <c r="J516" i="2"/>
  <c r="I516" i="2"/>
  <c r="J515" i="2"/>
  <c r="I515" i="2"/>
  <c r="H514" i="2"/>
  <c r="H513" i="2"/>
  <c r="J512" i="2"/>
  <c r="J510" i="2"/>
  <c r="I510" i="2"/>
  <c r="E510" i="2"/>
  <c r="H509" i="2"/>
  <c r="E509" i="2"/>
  <c r="H508" i="2"/>
  <c r="E508" i="2"/>
  <c r="J507" i="2"/>
  <c r="I507" i="2"/>
  <c r="J506" i="2"/>
  <c r="I506" i="2"/>
  <c r="H506" i="2"/>
  <c r="G506" i="2"/>
  <c r="E506" i="2"/>
  <c r="J505" i="2"/>
  <c r="I505" i="2"/>
  <c r="G504" i="2"/>
  <c r="J503" i="2"/>
  <c r="I503" i="2"/>
  <c r="J502" i="2"/>
  <c r="I502" i="2"/>
  <c r="H502" i="2"/>
  <c r="G502" i="2"/>
  <c r="J501" i="2"/>
  <c r="I501" i="2"/>
  <c r="H501" i="2"/>
  <c r="G501" i="2"/>
  <c r="E501" i="2"/>
  <c r="J500" i="2"/>
  <c r="I500" i="2"/>
  <c r="J499" i="2"/>
  <c r="I499" i="2"/>
  <c r="J498" i="2"/>
  <c r="I498" i="2"/>
  <c r="H498" i="2"/>
  <c r="G498" i="2"/>
  <c r="F498" i="2"/>
  <c r="E498" i="2"/>
  <c r="J497" i="2"/>
  <c r="I497" i="2"/>
  <c r="J496" i="2"/>
  <c r="I496" i="2"/>
  <c r="J495" i="2"/>
  <c r="I495" i="2"/>
  <c r="J494" i="2"/>
  <c r="I494" i="2"/>
  <c r="H494" i="2"/>
  <c r="G494" i="2"/>
  <c r="F494" i="2"/>
  <c r="E494" i="2"/>
  <c r="H492" i="2"/>
  <c r="G492" i="2"/>
  <c r="J492" i="2" s="1"/>
  <c r="F492" i="2"/>
  <c r="E492" i="2"/>
  <c r="H491" i="2"/>
  <c r="F491" i="2"/>
  <c r="E491" i="2"/>
  <c r="J490" i="2"/>
  <c r="I490" i="2"/>
  <c r="J489" i="2"/>
  <c r="I489" i="2"/>
  <c r="J487" i="2"/>
  <c r="H487" i="2"/>
  <c r="G487" i="2"/>
  <c r="I487" i="2" s="1"/>
  <c r="F487" i="2"/>
  <c r="E487" i="2"/>
  <c r="J486" i="2"/>
  <c r="I486" i="2"/>
  <c r="J485" i="2"/>
  <c r="I485" i="2"/>
  <c r="H485" i="2"/>
  <c r="G485" i="2"/>
  <c r="F485" i="2"/>
  <c r="E485" i="2"/>
  <c r="H484" i="2"/>
  <c r="F484" i="2"/>
  <c r="E484" i="2"/>
  <c r="J483" i="2"/>
  <c r="I483" i="2"/>
  <c r="J482" i="2"/>
  <c r="I482" i="2"/>
  <c r="H482" i="2"/>
  <c r="G482" i="2"/>
  <c r="E482" i="2"/>
  <c r="J481" i="2"/>
  <c r="I481" i="2"/>
  <c r="H481" i="2"/>
  <c r="G481" i="2"/>
  <c r="E481" i="2"/>
  <c r="G479" i="2"/>
  <c r="G478" i="2"/>
  <c r="J477" i="2"/>
  <c r="I477" i="2"/>
  <c r="J476" i="2"/>
  <c r="I476" i="2"/>
  <c r="H476" i="2"/>
  <c r="G476" i="2"/>
  <c r="F476" i="2"/>
  <c r="E476" i="2"/>
  <c r="J475" i="2"/>
  <c r="I475" i="2"/>
  <c r="H475" i="2"/>
  <c r="G475" i="2"/>
  <c r="F475" i="2"/>
  <c r="E475" i="2"/>
  <c r="J474" i="2"/>
  <c r="I474" i="2"/>
  <c r="J473" i="2"/>
  <c r="I473" i="2"/>
  <c r="J472" i="2"/>
  <c r="I472" i="2"/>
  <c r="H472" i="2"/>
  <c r="G472" i="2"/>
  <c r="J471" i="2"/>
  <c r="I471" i="2"/>
  <c r="J470" i="2"/>
  <c r="I470" i="2"/>
  <c r="H470" i="2"/>
  <c r="G470" i="2"/>
  <c r="F470" i="2"/>
  <c r="E470" i="2"/>
  <c r="J469" i="2"/>
  <c r="I469" i="2"/>
  <c r="J468" i="2"/>
  <c r="I468" i="2"/>
  <c r="H468" i="2"/>
  <c r="G468" i="2"/>
  <c r="G466" i="2"/>
  <c r="J465" i="2"/>
  <c r="I465" i="2"/>
  <c r="J464" i="2"/>
  <c r="I464" i="2"/>
  <c r="J463" i="2"/>
  <c r="I463" i="2"/>
  <c r="H463" i="2"/>
  <c r="G463" i="2"/>
  <c r="F463" i="2"/>
  <c r="J462" i="2"/>
  <c r="I462" i="2"/>
  <c r="J461" i="2"/>
  <c r="I461" i="2"/>
  <c r="H461" i="2"/>
  <c r="G461" i="2"/>
  <c r="F461" i="2"/>
  <c r="E461" i="2"/>
  <c r="J460" i="2"/>
  <c r="H459" i="2"/>
  <c r="F459" i="2"/>
  <c r="E459" i="2"/>
  <c r="J457" i="2"/>
  <c r="I457" i="2"/>
  <c r="H457" i="2"/>
  <c r="G457" i="2"/>
  <c r="F457" i="2"/>
  <c r="E457" i="2"/>
  <c r="J456" i="2"/>
  <c r="H455" i="2"/>
  <c r="F455" i="2"/>
  <c r="E455" i="2"/>
  <c r="J454" i="2"/>
  <c r="I454" i="2"/>
  <c r="J453" i="2"/>
  <c r="I453" i="2"/>
  <c r="J452" i="2"/>
  <c r="I452" i="2"/>
  <c r="H452" i="2"/>
  <c r="G452" i="2"/>
  <c r="F452" i="2"/>
  <c r="E452" i="2"/>
  <c r="J451" i="2"/>
  <c r="I451" i="2"/>
  <c r="J450" i="2"/>
  <c r="I450" i="2"/>
  <c r="H450" i="2"/>
  <c r="G450" i="2"/>
  <c r="J449" i="2"/>
  <c r="I449" i="2"/>
  <c r="J448" i="2"/>
  <c r="I448" i="2"/>
  <c r="H448" i="2"/>
  <c r="G448" i="2"/>
  <c r="F448" i="2"/>
  <c r="E448" i="2"/>
  <c r="J447" i="2"/>
  <c r="I447" i="2"/>
  <c r="J446" i="2"/>
  <c r="I446" i="2"/>
  <c r="H446" i="2"/>
  <c r="G446" i="2"/>
  <c r="F446" i="2"/>
  <c r="E446" i="2"/>
  <c r="J445" i="2"/>
  <c r="I445" i="2"/>
  <c r="J444" i="2"/>
  <c r="I444" i="2"/>
  <c r="H444" i="2"/>
  <c r="G444" i="2"/>
  <c r="F444" i="2"/>
  <c r="E444" i="2"/>
  <c r="J443" i="2"/>
  <c r="I443" i="2"/>
  <c r="J442" i="2"/>
  <c r="I442" i="2"/>
  <c r="H442" i="2"/>
  <c r="G442" i="2"/>
  <c r="F442" i="2"/>
  <c r="E442" i="2"/>
  <c r="G440" i="2"/>
  <c r="J437" i="2"/>
  <c r="I437" i="2"/>
  <c r="H436" i="2"/>
  <c r="G436" i="2"/>
  <c r="J436" i="2" s="1"/>
  <c r="J435" i="2"/>
  <c r="I435" i="2"/>
  <c r="G435" i="2"/>
  <c r="J434" i="2"/>
  <c r="I434" i="2"/>
  <c r="G434" i="2"/>
  <c r="J433" i="2"/>
  <c r="I433" i="2"/>
  <c r="H433" i="2"/>
  <c r="G433" i="2"/>
  <c r="J432" i="2"/>
  <c r="I432" i="2"/>
  <c r="J431" i="2"/>
  <c r="I431" i="2"/>
  <c r="H431" i="2"/>
  <c r="G431" i="2"/>
  <c r="H430" i="2"/>
  <c r="F430" i="2"/>
  <c r="E430" i="2"/>
  <c r="H428" i="2"/>
  <c r="F428" i="2"/>
  <c r="E428" i="2"/>
  <c r="H426" i="2"/>
  <c r="F426" i="2"/>
  <c r="E426" i="2"/>
  <c r="J425" i="2"/>
  <c r="H424" i="2"/>
  <c r="F424" i="2"/>
  <c r="E424" i="2"/>
  <c r="J423" i="2"/>
  <c r="I423" i="2"/>
  <c r="H422" i="2"/>
  <c r="F422" i="2"/>
  <c r="E422" i="2"/>
  <c r="H421" i="2"/>
  <c r="F421" i="2"/>
  <c r="E421" i="2"/>
  <c r="H420" i="2"/>
  <c r="F420" i="2"/>
  <c r="E420" i="2"/>
  <c r="J419" i="2"/>
  <c r="I419" i="2"/>
  <c r="J417" i="2"/>
  <c r="I417" i="2"/>
  <c r="H417" i="2"/>
  <c r="G417" i="2"/>
  <c r="J416" i="2"/>
  <c r="I416" i="2"/>
  <c r="J415" i="2"/>
  <c r="I415" i="2"/>
  <c r="H415" i="2"/>
  <c r="G415" i="2"/>
  <c r="J414" i="2"/>
  <c r="I414" i="2"/>
  <c r="J413" i="2"/>
  <c r="I413" i="2"/>
  <c r="H413" i="2"/>
  <c r="G413" i="2"/>
  <c r="J412" i="2"/>
  <c r="I412" i="2"/>
  <c r="H412" i="2"/>
  <c r="G412" i="2"/>
  <c r="J411" i="2"/>
  <c r="I411" i="2"/>
  <c r="H411" i="2"/>
  <c r="G411" i="2"/>
  <c r="J410" i="2"/>
  <c r="I410" i="2"/>
  <c r="I409" i="2"/>
  <c r="H409" i="2"/>
  <c r="G409" i="2"/>
  <c r="J409" i="2" s="1"/>
  <c r="F409" i="2"/>
  <c r="E409" i="2"/>
  <c r="H408" i="2"/>
  <c r="G408" i="2"/>
  <c r="J408" i="2" s="1"/>
  <c r="F408" i="2"/>
  <c r="E408" i="2"/>
  <c r="J407" i="2"/>
  <c r="I407" i="2"/>
  <c r="G406" i="2"/>
  <c r="J405" i="2"/>
  <c r="I405" i="2"/>
  <c r="H405" i="2"/>
  <c r="G405" i="2"/>
  <c r="F405" i="2"/>
  <c r="E405" i="2"/>
  <c r="J404" i="2"/>
  <c r="H403" i="2"/>
  <c r="F403" i="2"/>
  <c r="F402" i="2" s="1"/>
  <c r="F401" i="2" s="1"/>
  <c r="F394" i="2" s="1"/>
  <c r="E403" i="2"/>
  <c r="E402" i="2" s="1"/>
  <c r="E401" i="2" s="1"/>
  <c r="E394" i="2" s="1"/>
  <c r="J400" i="2"/>
  <c r="I400" i="2"/>
  <c r="J399" i="2"/>
  <c r="I399" i="2"/>
  <c r="H399" i="2"/>
  <c r="G399" i="2"/>
  <c r="F399" i="2"/>
  <c r="E399" i="2"/>
  <c r="J398" i="2"/>
  <c r="I398" i="2"/>
  <c r="J397" i="2"/>
  <c r="I397" i="2"/>
  <c r="H397" i="2"/>
  <c r="G397" i="2"/>
  <c r="J396" i="2"/>
  <c r="I396" i="2"/>
  <c r="H396" i="2"/>
  <c r="G396" i="2"/>
  <c r="F396" i="2"/>
  <c r="E396" i="2"/>
  <c r="J395" i="2"/>
  <c r="I395" i="2"/>
  <c r="H395" i="2"/>
  <c r="G395" i="2"/>
  <c r="F395" i="2"/>
  <c r="E395" i="2"/>
  <c r="J393" i="2"/>
  <c r="I393" i="2"/>
  <c r="J392" i="2"/>
  <c r="I392" i="2"/>
  <c r="J391" i="2"/>
  <c r="I391" i="2"/>
  <c r="H391" i="2"/>
  <c r="G391" i="2"/>
  <c r="F391" i="2"/>
  <c r="E391" i="2"/>
  <c r="H389" i="2"/>
  <c r="F389" i="2"/>
  <c r="E389" i="2"/>
  <c r="H387" i="2"/>
  <c r="F387" i="2"/>
  <c r="E387" i="2"/>
  <c r="H386" i="2"/>
  <c r="F386" i="2"/>
  <c r="E386" i="2"/>
  <c r="J385" i="2"/>
  <c r="I385" i="2"/>
  <c r="J384" i="2"/>
  <c r="I384" i="2"/>
  <c r="H384" i="2"/>
  <c r="G384" i="2"/>
  <c r="J383" i="2"/>
  <c r="I383" i="2"/>
  <c r="H383" i="2"/>
  <c r="G383" i="2"/>
  <c r="J382" i="2"/>
  <c r="I382" i="2"/>
  <c r="G382" i="2"/>
  <c r="J381" i="2"/>
  <c r="I381" i="2"/>
  <c r="H381" i="2"/>
  <c r="G381" i="2"/>
  <c r="G379" i="2"/>
  <c r="H378" i="2"/>
  <c r="G378" i="2"/>
  <c r="J378" i="2" s="1"/>
  <c r="F378" i="2"/>
  <c r="E378" i="2"/>
  <c r="G377" i="2"/>
  <c r="G376" i="2"/>
  <c r="G375" i="2"/>
  <c r="J374" i="2"/>
  <c r="I374" i="2"/>
  <c r="J373" i="2"/>
  <c r="I373" i="2"/>
  <c r="H373" i="2"/>
  <c r="G373" i="2"/>
  <c r="J372" i="2"/>
  <c r="I372" i="2"/>
  <c r="J371" i="2"/>
  <c r="I371" i="2"/>
  <c r="H371" i="2"/>
  <c r="G371" i="2"/>
  <c r="F371" i="2"/>
  <c r="E371" i="2"/>
  <c r="J370" i="2"/>
  <c r="I370" i="2"/>
  <c r="J369" i="2"/>
  <c r="I369" i="2"/>
  <c r="H369" i="2"/>
  <c r="G369" i="2"/>
  <c r="F369" i="2"/>
  <c r="E369" i="2"/>
  <c r="J368" i="2"/>
  <c r="I368" i="2"/>
  <c r="J367" i="2"/>
  <c r="I367" i="2"/>
  <c r="H367" i="2"/>
  <c r="G367" i="2"/>
  <c r="F367" i="2"/>
  <c r="E367" i="2"/>
  <c r="J366" i="2"/>
  <c r="I366" i="2"/>
  <c r="H366" i="2"/>
  <c r="G366" i="2"/>
  <c r="F366" i="2"/>
  <c r="E366" i="2"/>
  <c r="J365" i="2"/>
  <c r="I365" i="2"/>
  <c r="J364" i="2"/>
  <c r="I364" i="2"/>
  <c r="J363" i="2"/>
  <c r="I363" i="2"/>
  <c r="H363" i="2"/>
  <c r="G363" i="2"/>
  <c r="F363" i="2"/>
  <c r="E363" i="2"/>
  <c r="J362" i="2"/>
  <c r="I362" i="2"/>
  <c r="H362" i="2"/>
  <c r="G362" i="2"/>
  <c r="F362" i="2"/>
  <c r="E362" i="2"/>
  <c r="G360" i="2"/>
  <c r="J359" i="2"/>
  <c r="I359" i="2"/>
  <c r="J358" i="2"/>
  <c r="I358" i="2"/>
  <c r="H358" i="2"/>
  <c r="G358" i="2"/>
  <c r="J357" i="2"/>
  <c r="I357" i="2"/>
  <c r="G357" i="2"/>
  <c r="J356" i="2"/>
  <c r="I356" i="2"/>
  <c r="H356" i="2"/>
  <c r="G356" i="2"/>
  <c r="J355" i="2"/>
  <c r="I355" i="2"/>
  <c r="J354" i="2"/>
  <c r="I354" i="2"/>
  <c r="H354" i="2"/>
  <c r="G354" i="2"/>
  <c r="G353" i="2"/>
  <c r="J352" i="2"/>
  <c r="I352" i="2"/>
  <c r="J351" i="2"/>
  <c r="I351" i="2"/>
  <c r="H351" i="2"/>
  <c r="G351" i="2"/>
  <c r="J350" i="2"/>
  <c r="I350" i="2"/>
  <c r="H350" i="2"/>
  <c r="G350" i="2"/>
  <c r="I349" i="2"/>
  <c r="J348" i="2"/>
  <c r="I348" i="2"/>
  <c r="J347" i="2"/>
  <c r="I347" i="2"/>
  <c r="H346" i="2"/>
  <c r="F346" i="2"/>
  <c r="E346" i="2"/>
  <c r="E345" i="2" s="1"/>
  <c r="E344" i="2" s="1"/>
  <c r="H345" i="2"/>
  <c r="H344" i="2" s="1"/>
  <c r="F345" i="2"/>
  <c r="F344" i="2" s="1"/>
  <c r="J343" i="2"/>
  <c r="I343" i="2"/>
  <c r="G343" i="2"/>
  <c r="H342" i="2"/>
  <c r="J342" i="2" s="1"/>
  <c r="G342" i="2"/>
  <c r="F342" i="2"/>
  <c r="F341" i="2" s="1"/>
  <c r="E342" i="2"/>
  <c r="E341" i="2" s="1"/>
  <c r="G341" i="2"/>
  <c r="J340" i="2"/>
  <c r="I340" i="2"/>
  <c r="G340" i="2"/>
  <c r="J339" i="2"/>
  <c r="I339" i="2"/>
  <c r="J338" i="2"/>
  <c r="I338" i="2"/>
  <c r="H338" i="2"/>
  <c r="G338" i="2"/>
  <c r="F338" i="2"/>
  <c r="E338" i="2"/>
  <c r="J337" i="2"/>
  <c r="I337" i="2"/>
  <c r="H337" i="2"/>
  <c r="G337" i="2"/>
  <c r="E337" i="2"/>
  <c r="J335" i="2"/>
  <c r="I335" i="2"/>
  <c r="G335" i="2"/>
  <c r="J334" i="2"/>
  <c r="I334" i="2"/>
  <c r="H334" i="2"/>
  <c r="G334" i="2"/>
  <c r="J333" i="2"/>
  <c r="I333" i="2"/>
  <c r="J332" i="2"/>
  <c r="I332" i="2"/>
  <c r="H332" i="2"/>
  <c r="G332" i="2"/>
  <c r="J331" i="2"/>
  <c r="I331" i="2"/>
  <c r="H331" i="2"/>
  <c r="G331" i="2"/>
  <c r="I330" i="2"/>
  <c r="H329" i="2"/>
  <c r="J328" i="2"/>
  <c r="I328" i="2"/>
  <c r="J327" i="2"/>
  <c r="I327" i="2"/>
  <c r="J326" i="2"/>
  <c r="I326" i="2"/>
  <c r="H326" i="2"/>
  <c r="G326" i="2"/>
  <c r="J325" i="2"/>
  <c r="I325" i="2"/>
  <c r="J324" i="2"/>
  <c r="I324" i="2"/>
  <c r="H324" i="2"/>
  <c r="G324" i="2"/>
  <c r="J323" i="2"/>
  <c r="I323" i="2"/>
  <c r="J322" i="2"/>
  <c r="I322" i="2"/>
  <c r="H322" i="2"/>
  <c r="G322" i="2"/>
  <c r="J321" i="2"/>
  <c r="I321" i="2"/>
  <c r="H321" i="2"/>
  <c r="G321" i="2"/>
  <c r="J320" i="2"/>
  <c r="I320" i="2"/>
  <c r="J319" i="2"/>
  <c r="I319" i="2"/>
  <c r="H319" i="2"/>
  <c r="G319" i="2"/>
  <c r="J318" i="2"/>
  <c r="I318" i="2"/>
  <c r="H318" i="2"/>
  <c r="G318" i="2"/>
  <c r="J317" i="2"/>
  <c r="I317" i="2"/>
  <c r="J316" i="2"/>
  <c r="I316" i="2"/>
  <c r="H316" i="2"/>
  <c r="G316" i="2"/>
  <c r="J315" i="2"/>
  <c r="I315" i="2"/>
  <c r="J314" i="2"/>
  <c r="I314" i="2"/>
  <c r="H314" i="2"/>
  <c r="G314" i="2"/>
  <c r="H313" i="2"/>
  <c r="J312" i="2"/>
  <c r="I312" i="2"/>
  <c r="J311" i="2"/>
  <c r="I311" i="2"/>
  <c r="J310" i="2"/>
  <c r="I310" i="2"/>
  <c r="J309" i="2"/>
  <c r="I309" i="2"/>
  <c r="H309" i="2"/>
  <c r="G309" i="2"/>
  <c r="J308" i="2"/>
  <c r="I308" i="2"/>
  <c r="H308" i="2"/>
  <c r="G308" i="2"/>
  <c r="J307" i="2"/>
  <c r="I307" i="2"/>
  <c r="J306" i="2"/>
  <c r="I306" i="2"/>
  <c r="H306" i="2"/>
  <c r="G306" i="2"/>
  <c r="H305" i="2"/>
  <c r="F305" i="2"/>
  <c r="E305" i="2"/>
  <c r="G303" i="2"/>
  <c r="G301" i="2"/>
  <c r="G300" i="2"/>
  <c r="I299" i="2"/>
  <c r="J298" i="2"/>
  <c r="I298" i="2"/>
  <c r="H297" i="2"/>
  <c r="F297" i="2"/>
  <c r="E297" i="2"/>
  <c r="J296" i="2"/>
  <c r="I296" i="2"/>
  <c r="J295" i="2"/>
  <c r="I295" i="2"/>
  <c r="H295" i="2"/>
  <c r="G295" i="2"/>
  <c r="H294" i="2"/>
  <c r="F294" i="2"/>
  <c r="E294" i="2"/>
  <c r="H292" i="2"/>
  <c r="G292" i="2"/>
  <c r="G291" i="2" s="1"/>
  <c r="F292" i="2"/>
  <c r="F291" i="2" s="1"/>
  <c r="E292" i="2"/>
  <c r="E291" i="2" s="1"/>
  <c r="J290" i="2"/>
  <c r="I290" i="2"/>
  <c r="H289" i="2"/>
  <c r="J289" i="2" s="1"/>
  <c r="G289" i="2"/>
  <c r="G288" i="2" s="1"/>
  <c r="F289" i="2"/>
  <c r="F288" i="2" s="1"/>
  <c r="E289" i="2"/>
  <c r="E288" i="2"/>
  <c r="E287" i="2" s="1"/>
  <c r="J286" i="2"/>
  <c r="I286" i="2"/>
  <c r="J285" i="2"/>
  <c r="I285" i="2"/>
  <c r="H285" i="2"/>
  <c r="G285" i="2"/>
  <c r="G284" i="2"/>
  <c r="J283" i="2"/>
  <c r="I283" i="2"/>
  <c r="G283" i="2"/>
  <c r="J282" i="2"/>
  <c r="I282" i="2"/>
  <c r="J281" i="2"/>
  <c r="I281" i="2"/>
  <c r="J280" i="2"/>
  <c r="I280" i="2"/>
  <c r="H280" i="2"/>
  <c r="G280" i="2"/>
  <c r="F280" i="2"/>
  <c r="E280" i="2"/>
  <c r="J279" i="2"/>
  <c r="I279" i="2"/>
  <c r="H279" i="2"/>
  <c r="G279" i="2"/>
  <c r="F279" i="2"/>
  <c r="E279" i="2"/>
  <c r="J278" i="2"/>
  <c r="I278" i="2"/>
  <c r="J277" i="2"/>
  <c r="I277" i="2"/>
  <c r="J276" i="2"/>
  <c r="I276" i="2"/>
  <c r="G276" i="2"/>
  <c r="J275" i="2"/>
  <c r="I275" i="2"/>
  <c r="H275" i="2"/>
  <c r="G275" i="2"/>
  <c r="F275" i="2"/>
  <c r="E275" i="2"/>
  <c r="H274" i="2"/>
  <c r="J274" i="2" s="1"/>
  <c r="G274" i="2"/>
  <c r="F274" i="2"/>
  <c r="F273" i="2" s="1"/>
  <c r="F262" i="2" s="1"/>
  <c r="E274" i="2"/>
  <c r="E273" i="2" s="1"/>
  <c r="E262" i="2" s="1"/>
  <c r="J272" i="2"/>
  <c r="I272" i="2"/>
  <c r="J271" i="2"/>
  <c r="I271" i="2"/>
  <c r="H271" i="2"/>
  <c r="G271" i="2"/>
  <c r="J270" i="2"/>
  <c r="I270" i="2"/>
  <c r="H269" i="2"/>
  <c r="G269" i="2"/>
  <c r="G263" i="2" s="1"/>
  <c r="J268" i="2"/>
  <c r="I268" i="2"/>
  <c r="J267" i="2"/>
  <c r="I267" i="2"/>
  <c r="H267" i="2"/>
  <c r="G267" i="2"/>
  <c r="F267" i="2"/>
  <c r="E267" i="2"/>
  <c r="J266" i="2"/>
  <c r="I266" i="2"/>
  <c r="J265" i="2"/>
  <c r="I265" i="2"/>
  <c r="H265" i="2"/>
  <c r="G265" i="2"/>
  <c r="F265" i="2"/>
  <c r="E265" i="2"/>
  <c r="J264" i="2"/>
  <c r="I264" i="2"/>
  <c r="H264" i="2"/>
  <c r="G264" i="2"/>
  <c r="F264" i="2"/>
  <c r="E264" i="2"/>
  <c r="H263" i="2"/>
  <c r="F263" i="2"/>
  <c r="E263" i="2"/>
  <c r="J261" i="2"/>
  <c r="I261" i="2"/>
  <c r="J260" i="2"/>
  <c r="H260" i="2"/>
  <c r="G260" i="2"/>
  <c r="I260" i="2" s="1"/>
  <c r="F260" i="2"/>
  <c r="E260" i="2"/>
  <c r="H258" i="2"/>
  <c r="F258" i="2"/>
  <c r="E258" i="2"/>
  <c r="H257" i="2"/>
  <c r="F257" i="2"/>
  <c r="E257" i="2"/>
  <c r="G255" i="2"/>
  <c r="G254" i="2"/>
  <c r="J253" i="2"/>
  <c r="I253" i="2"/>
  <c r="J252" i="2"/>
  <c r="I252" i="2"/>
  <c r="H249" i="2"/>
  <c r="F249" i="2"/>
  <c r="E249" i="2"/>
  <c r="H248" i="2"/>
  <c r="F248" i="2"/>
  <c r="E248" i="2"/>
  <c r="J247" i="2"/>
  <c r="I247" i="2"/>
  <c r="J246" i="2"/>
  <c r="I246" i="2"/>
  <c r="J245" i="2"/>
  <c r="I245" i="2"/>
  <c r="J244" i="2"/>
  <c r="I244" i="2"/>
  <c r="H244" i="2"/>
  <c r="G244" i="2"/>
  <c r="F244" i="2"/>
  <c r="E244" i="2"/>
  <c r="J243" i="2"/>
  <c r="I243" i="2"/>
  <c r="H243" i="2"/>
  <c r="G243" i="2"/>
  <c r="F243" i="2"/>
  <c r="E243" i="2"/>
  <c r="J242" i="2"/>
  <c r="I242" i="2"/>
  <c r="I241" i="2"/>
  <c r="J240" i="2"/>
  <c r="I240" i="2"/>
  <c r="H239" i="2"/>
  <c r="F239" i="2"/>
  <c r="E239" i="2"/>
  <c r="H238" i="2"/>
  <c r="F238" i="2"/>
  <c r="E238" i="2"/>
  <c r="H237" i="2"/>
  <c r="F237" i="2"/>
  <c r="E237" i="2"/>
  <c r="J236" i="2"/>
  <c r="I236" i="2"/>
  <c r="J235" i="2"/>
  <c r="I235" i="2"/>
  <c r="H235" i="2"/>
  <c r="G235" i="2"/>
  <c r="F235" i="2"/>
  <c r="E235" i="2"/>
  <c r="J234" i="2"/>
  <c r="I234" i="2"/>
  <c r="H234" i="2"/>
  <c r="G234" i="2"/>
  <c r="F234" i="2"/>
  <c r="E234" i="2"/>
  <c r="J233" i="2"/>
  <c r="I233" i="2"/>
  <c r="E233" i="2"/>
  <c r="J232" i="2"/>
  <c r="I232" i="2"/>
  <c r="J231" i="2"/>
  <c r="I231" i="2"/>
  <c r="H231" i="2"/>
  <c r="G231" i="2"/>
  <c r="F231" i="2"/>
  <c r="E231" i="2"/>
  <c r="J230" i="2"/>
  <c r="I230" i="2"/>
  <c r="H230" i="2"/>
  <c r="G230" i="2"/>
  <c r="J229" i="2"/>
  <c r="I229" i="2"/>
  <c r="H229" i="2"/>
  <c r="G229" i="2"/>
  <c r="F229" i="2"/>
  <c r="E229" i="2"/>
  <c r="J228" i="2"/>
  <c r="I228" i="2"/>
  <c r="H228" i="2"/>
  <c r="G228" i="2"/>
  <c r="F228" i="2"/>
  <c r="E228" i="2"/>
  <c r="J227" i="2"/>
  <c r="I227" i="2"/>
  <c r="J226" i="2"/>
  <c r="I226" i="2"/>
  <c r="H226" i="2"/>
  <c r="G226" i="2"/>
  <c r="F226" i="2"/>
  <c r="E226" i="2"/>
  <c r="J225" i="2"/>
  <c r="I225" i="2"/>
  <c r="H225" i="2"/>
  <c r="G225" i="2"/>
  <c r="E225" i="2"/>
  <c r="J224" i="2"/>
  <c r="I224" i="2"/>
  <c r="H224" i="2"/>
  <c r="G224" i="2"/>
  <c r="F224" i="2"/>
  <c r="E224" i="2"/>
  <c r="J223" i="2"/>
  <c r="I223" i="2"/>
  <c r="H223" i="2"/>
  <c r="G223" i="2"/>
  <c r="F223" i="2"/>
  <c r="E223" i="2"/>
  <c r="J222" i="2"/>
  <c r="I222" i="2"/>
  <c r="J221" i="2"/>
  <c r="I221" i="2"/>
  <c r="H221" i="2"/>
  <c r="G221" i="2"/>
  <c r="J220" i="2"/>
  <c r="I220" i="2"/>
  <c r="H220" i="2"/>
  <c r="G220" i="2"/>
  <c r="F220" i="2"/>
  <c r="E220" i="2"/>
  <c r="J219" i="2"/>
  <c r="I219" i="2"/>
  <c r="H219" i="2"/>
  <c r="J218" i="2"/>
  <c r="I218" i="2"/>
  <c r="H218" i="2"/>
  <c r="G218" i="2"/>
  <c r="G217" i="2"/>
  <c r="J216" i="2"/>
  <c r="I216" i="2"/>
  <c r="J215" i="2"/>
  <c r="I215" i="2"/>
  <c r="H215" i="2"/>
  <c r="G215" i="2"/>
  <c r="J214" i="2"/>
  <c r="I214" i="2"/>
  <c r="H214" i="2"/>
  <c r="J213" i="2"/>
  <c r="I213" i="2"/>
  <c r="H213" i="2"/>
  <c r="G213" i="2"/>
  <c r="J212" i="2"/>
  <c r="I212" i="2"/>
  <c r="E212" i="2"/>
  <c r="G211" i="2"/>
  <c r="J210" i="2"/>
  <c r="I210" i="2"/>
  <c r="H210" i="2"/>
  <c r="G210" i="2"/>
  <c r="F210" i="2"/>
  <c r="E210" i="2"/>
  <c r="H208" i="2"/>
  <c r="F208" i="2"/>
  <c r="E208" i="2"/>
  <c r="H207" i="2"/>
  <c r="F207" i="2"/>
  <c r="E207" i="2"/>
  <c r="J206" i="2"/>
  <c r="I206" i="2"/>
  <c r="J205" i="2"/>
  <c r="I205" i="2"/>
  <c r="H205" i="2"/>
  <c r="G205" i="2"/>
  <c r="F205" i="2"/>
  <c r="E205" i="2"/>
  <c r="J204" i="2"/>
  <c r="I204" i="2"/>
  <c r="E204" i="2"/>
  <c r="J203" i="2"/>
  <c r="I203" i="2"/>
  <c r="H203" i="2"/>
  <c r="G203" i="2"/>
  <c r="F203" i="2"/>
  <c r="E203" i="2"/>
  <c r="J202" i="2"/>
  <c r="I202" i="2"/>
  <c r="H202" i="2"/>
  <c r="G202" i="2"/>
  <c r="F202" i="2"/>
  <c r="E202" i="2"/>
  <c r="J201" i="2"/>
  <c r="I201" i="2"/>
  <c r="J200" i="2"/>
  <c r="I200" i="2"/>
  <c r="H200" i="2"/>
  <c r="G200" i="2"/>
  <c r="J199" i="2"/>
  <c r="I199" i="2"/>
  <c r="J198" i="2"/>
  <c r="I198" i="2"/>
  <c r="H198" i="2"/>
  <c r="G198" i="2"/>
  <c r="F198" i="2"/>
  <c r="E198" i="2"/>
  <c r="H197" i="2"/>
  <c r="F197" i="2"/>
  <c r="E197" i="2"/>
  <c r="J196" i="2"/>
  <c r="I196" i="2"/>
  <c r="H196" i="2"/>
  <c r="J195" i="2"/>
  <c r="I195" i="2"/>
  <c r="H195" i="2"/>
  <c r="G195" i="2"/>
  <c r="J194" i="2"/>
  <c r="I194" i="2"/>
  <c r="H194" i="2"/>
  <c r="J193" i="2"/>
  <c r="I193" i="2"/>
  <c r="H193" i="2"/>
  <c r="G193" i="2"/>
  <c r="G192" i="2"/>
  <c r="J191" i="2"/>
  <c r="I191" i="2"/>
  <c r="H191" i="2"/>
  <c r="J190" i="2"/>
  <c r="I190" i="2"/>
  <c r="H190" i="2"/>
  <c r="G190" i="2"/>
  <c r="G189" i="2"/>
  <c r="J188" i="2"/>
  <c r="I188" i="2"/>
  <c r="J187" i="2"/>
  <c r="I187" i="2"/>
  <c r="H187" i="2"/>
  <c r="G187" i="2"/>
  <c r="F187" i="2"/>
  <c r="E187" i="2"/>
  <c r="J186" i="2"/>
  <c r="I186" i="2"/>
  <c r="H186" i="2"/>
  <c r="G186" i="2"/>
  <c r="F186" i="2"/>
  <c r="E186" i="2"/>
  <c r="J185" i="2"/>
  <c r="I185" i="2"/>
  <c r="H184" i="2"/>
  <c r="G184" i="2"/>
  <c r="J184" i="2" s="1"/>
  <c r="F184" i="2"/>
  <c r="E184" i="2"/>
  <c r="H183" i="2"/>
  <c r="F183" i="2"/>
  <c r="E183" i="2"/>
  <c r="J182" i="2"/>
  <c r="I182" i="2"/>
  <c r="J181" i="2"/>
  <c r="I181" i="2"/>
  <c r="H181" i="2"/>
  <c r="G181" i="2"/>
  <c r="F181" i="2"/>
  <c r="E181" i="2"/>
  <c r="J180" i="2"/>
  <c r="I180" i="2"/>
  <c r="E180" i="2"/>
  <c r="J179" i="2"/>
  <c r="I179" i="2"/>
  <c r="H179" i="2"/>
  <c r="G179" i="2"/>
  <c r="F179" i="2"/>
  <c r="E179" i="2"/>
  <c r="J178" i="2"/>
  <c r="I178" i="2"/>
  <c r="H178" i="2"/>
  <c r="G178" i="2"/>
  <c r="F178" i="2"/>
  <c r="E178" i="2"/>
  <c r="J177" i="2"/>
  <c r="I177" i="2"/>
  <c r="H176" i="2"/>
  <c r="G176" i="2"/>
  <c r="J176" i="2" s="1"/>
  <c r="J175" i="2"/>
  <c r="I175" i="2"/>
  <c r="J174" i="2"/>
  <c r="I174" i="2"/>
  <c r="H174" i="2"/>
  <c r="G174" i="2"/>
  <c r="F174" i="2"/>
  <c r="E174" i="2"/>
  <c r="H173" i="2"/>
  <c r="F173" i="2"/>
  <c r="E173" i="2"/>
  <c r="J172" i="2"/>
  <c r="I172" i="2"/>
  <c r="H172" i="2"/>
  <c r="J171" i="2"/>
  <c r="I171" i="2"/>
  <c r="H171" i="2"/>
  <c r="G171" i="2"/>
  <c r="J170" i="2"/>
  <c r="I170" i="2"/>
  <c r="H170" i="2"/>
  <c r="J169" i="2"/>
  <c r="I169" i="2"/>
  <c r="H169" i="2"/>
  <c r="G169" i="2"/>
  <c r="G168" i="2"/>
  <c r="J167" i="2"/>
  <c r="I167" i="2"/>
  <c r="J166" i="2"/>
  <c r="I166" i="2"/>
  <c r="H166" i="2"/>
  <c r="G166" i="2"/>
  <c r="G165" i="2"/>
  <c r="J164" i="2"/>
  <c r="I164" i="2"/>
  <c r="J163" i="2"/>
  <c r="I163" i="2"/>
  <c r="H163" i="2"/>
  <c r="G163" i="2"/>
  <c r="J162" i="2"/>
  <c r="I162" i="2"/>
  <c r="J161" i="2"/>
  <c r="I161" i="2"/>
  <c r="H161" i="2"/>
  <c r="G161" i="2"/>
  <c r="F161" i="2"/>
  <c r="E161" i="2"/>
  <c r="H159" i="2"/>
  <c r="F159" i="2"/>
  <c r="E159" i="2"/>
  <c r="J158" i="2"/>
  <c r="I158" i="2"/>
  <c r="J157" i="2"/>
  <c r="I157" i="2"/>
  <c r="H157" i="2"/>
  <c r="G157" i="2"/>
  <c r="F157" i="2"/>
  <c r="E157" i="2"/>
  <c r="H156" i="2"/>
  <c r="G156" i="2"/>
  <c r="I156" i="2" s="1"/>
  <c r="F156" i="2"/>
  <c r="E156" i="2"/>
  <c r="J155" i="2"/>
  <c r="I155" i="2"/>
  <c r="J154" i="2"/>
  <c r="I154" i="2"/>
  <c r="H154" i="2"/>
  <c r="G154" i="2"/>
  <c r="F154" i="2"/>
  <c r="E154" i="2"/>
  <c r="J153" i="2"/>
  <c r="I153" i="2"/>
  <c r="J152" i="2"/>
  <c r="I152" i="2"/>
  <c r="H152" i="2"/>
  <c r="G152" i="2"/>
  <c r="F152" i="2"/>
  <c r="E152" i="2"/>
  <c r="J151" i="2"/>
  <c r="I151" i="2"/>
  <c r="E151" i="2"/>
  <c r="J150" i="2"/>
  <c r="I150" i="2"/>
  <c r="H150" i="2"/>
  <c r="G150" i="2"/>
  <c r="F150" i="2"/>
  <c r="E150" i="2"/>
  <c r="J149" i="2"/>
  <c r="I149" i="2"/>
  <c r="H149" i="2"/>
  <c r="G149" i="2"/>
  <c r="F149" i="2"/>
  <c r="E149" i="2"/>
  <c r="J148" i="2"/>
  <c r="I148" i="2"/>
  <c r="J147" i="2"/>
  <c r="I147" i="2"/>
  <c r="H147" i="2"/>
  <c r="G147" i="2"/>
  <c r="I146" i="2"/>
  <c r="H145" i="2"/>
  <c r="F145" i="2"/>
  <c r="E145" i="2"/>
  <c r="J143" i="2"/>
  <c r="I143" i="2"/>
  <c r="J142" i="2"/>
  <c r="I142" i="2"/>
  <c r="H142" i="2"/>
  <c r="G142" i="2"/>
  <c r="F142" i="2"/>
  <c r="E142" i="2"/>
  <c r="H141" i="2"/>
  <c r="F141" i="2"/>
  <c r="E141" i="2"/>
  <c r="H140" i="2"/>
  <c r="F140" i="2"/>
  <c r="E140" i="2"/>
  <c r="I139" i="2"/>
  <c r="J138" i="2"/>
  <c r="I138" i="2"/>
  <c r="H136" i="2"/>
  <c r="F136" i="2"/>
  <c r="E136" i="2"/>
  <c r="H135" i="2"/>
  <c r="F135" i="2"/>
  <c r="E135" i="2"/>
  <c r="J133" i="2"/>
  <c r="J132" i="2"/>
  <c r="I132" i="2"/>
  <c r="H131" i="2"/>
  <c r="H130" i="2" s="1"/>
  <c r="H124" i="2" s="1"/>
  <c r="F131" i="2"/>
  <c r="F130" i="2" s="1"/>
  <c r="F124" i="2" s="1"/>
  <c r="E131" i="2"/>
  <c r="E130" i="2" s="1"/>
  <c r="E124" i="2" s="1"/>
  <c r="J129" i="2"/>
  <c r="I129" i="2"/>
  <c r="J128" i="2"/>
  <c r="I128" i="2"/>
  <c r="J127" i="2"/>
  <c r="I127" i="2"/>
  <c r="H126" i="2"/>
  <c r="G126" i="2"/>
  <c r="J126" i="2" s="1"/>
  <c r="F126" i="2"/>
  <c r="E126" i="2"/>
  <c r="H125" i="2"/>
  <c r="F125" i="2"/>
  <c r="E125" i="2"/>
  <c r="J123" i="2"/>
  <c r="I123" i="2"/>
  <c r="J122" i="2"/>
  <c r="I122" i="2"/>
  <c r="H122" i="2"/>
  <c r="G122" i="2"/>
  <c r="J121" i="2"/>
  <c r="I121" i="2"/>
  <c r="H121" i="2"/>
  <c r="G121" i="2"/>
  <c r="J120" i="2"/>
  <c r="H119" i="2"/>
  <c r="G119" i="2"/>
  <c r="J119" i="2" s="1"/>
  <c r="F119" i="2"/>
  <c r="E119" i="2"/>
  <c r="H118" i="2"/>
  <c r="F118" i="2"/>
  <c r="E118" i="2"/>
  <c r="J117" i="2"/>
  <c r="I117" i="2"/>
  <c r="J116" i="2"/>
  <c r="I116" i="2"/>
  <c r="H116" i="2"/>
  <c r="G116" i="2"/>
  <c r="J115" i="2"/>
  <c r="I115" i="2"/>
  <c r="J114" i="2"/>
  <c r="I114" i="2"/>
  <c r="H114" i="2"/>
  <c r="G114" i="2"/>
  <c r="J113" i="2"/>
  <c r="I113" i="2"/>
  <c r="J112" i="2"/>
  <c r="I112" i="2"/>
  <c r="H112" i="2"/>
  <c r="G112" i="2"/>
  <c r="F112" i="2"/>
  <c r="E112" i="2"/>
  <c r="J111" i="2"/>
  <c r="I111" i="2"/>
  <c r="H110" i="2"/>
  <c r="G110" i="2"/>
  <c r="J110" i="2" s="1"/>
  <c r="F110" i="2"/>
  <c r="E110" i="2"/>
  <c r="J109" i="2"/>
  <c r="I109" i="2"/>
  <c r="H108" i="2"/>
  <c r="G108" i="2"/>
  <c r="G107" i="2" s="1"/>
  <c r="I107" i="2" s="1"/>
  <c r="F108" i="2"/>
  <c r="E108" i="2"/>
  <c r="H107" i="2"/>
  <c r="F107" i="2"/>
  <c r="E107" i="2"/>
  <c r="J106" i="2"/>
  <c r="I106" i="2"/>
  <c r="J105" i="2"/>
  <c r="I105" i="2"/>
  <c r="H105" i="2"/>
  <c r="G105" i="2"/>
  <c r="F105" i="2"/>
  <c r="E105" i="2"/>
  <c r="J104" i="2"/>
  <c r="I104" i="2"/>
  <c r="I103" i="2"/>
  <c r="H102" i="2"/>
  <c r="H99" i="2" s="1"/>
  <c r="H96" i="2" s="1"/>
  <c r="G102" i="2"/>
  <c r="F102" i="2"/>
  <c r="E102" i="2"/>
  <c r="J101" i="2"/>
  <c r="I101" i="2"/>
  <c r="J100" i="2"/>
  <c r="I100" i="2"/>
  <c r="H100" i="2"/>
  <c r="G100" i="2"/>
  <c r="F100" i="2"/>
  <c r="E100" i="2"/>
  <c r="F99" i="2"/>
  <c r="E99" i="2"/>
  <c r="J98" i="2"/>
  <c r="I98" i="2"/>
  <c r="J97" i="2"/>
  <c r="I97" i="2"/>
  <c r="H97" i="2"/>
  <c r="G97" i="2"/>
  <c r="F97" i="2"/>
  <c r="E97" i="2"/>
  <c r="F96" i="2"/>
  <c r="E96" i="2"/>
  <c r="J95" i="2"/>
  <c r="I95" i="2"/>
  <c r="J94" i="2"/>
  <c r="I94" i="2"/>
  <c r="G94" i="2"/>
  <c r="J93" i="2"/>
  <c r="I93" i="2"/>
  <c r="H93" i="2"/>
  <c r="G93" i="2"/>
  <c r="J92" i="2"/>
  <c r="I92" i="2"/>
  <c r="J91" i="2"/>
  <c r="I91" i="2"/>
  <c r="H91" i="2"/>
  <c r="G91" i="2"/>
  <c r="F91" i="2"/>
  <c r="E91" i="2"/>
  <c r="J90" i="2"/>
  <c r="I90" i="2"/>
  <c r="H90" i="2"/>
  <c r="G90" i="2"/>
  <c r="F90" i="2"/>
  <c r="E90" i="2"/>
  <c r="G88" i="2"/>
  <c r="G86" i="2"/>
  <c r="G85" i="2" s="1"/>
  <c r="J84" i="2"/>
  <c r="I84" i="2"/>
  <c r="H83" i="2"/>
  <c r="J83" i="2" s="1"/>
  <c r="G83" i="2"/>
  <c r="F83" i="2"/>
  <c r="E83" i="2"/>
  <c r="F82" i="2"/>
  <c r="F33" i="2" s="1"/>
  <c r="E82" i="2"/>
  <c r="J81" i="2"/>
  <c r="I81" i="2"/>
  <c r="H80" i="2"/>
  <c r="G80" i="2"/>
  <c r="J80" i="2" s="1"/>
  <c r="H79" i="2"/>
  <c r="I78" i="2"/>
  <c r="H77" i="2"/>
  <c r="F77" i="2"/>
  <c r="E77" i="2"/>
  <c r="H76" i="2"/>
  <c r="F76" i="2"/>
  <c r="E76" i="2"/>
  <c r="J75" i="2"/>
  <c r="I75" i="2"/>
  <c r="J74" i="2"/>
  <c r="I74" i="2"/>
  <c r="H74" i="2"/>
  <c r="G74" i="2"/>
  <c r="J73" i="2"/>
  <c r="I73" i="2"/>
  <c r="J72" i="2"/>
  <c r="I72" i="2"/>
  <c r="H72" i="2"/>
  <c r="G72" i="2"/>
  <c r="F72" i="2"/>
  <c r="E72" i="2"/>
  <c r="I71" i="2"/>
  <c r="H70" i="2"/>
  <c r="G70" i="2"/>
  <c r="J70" i="2" s="1"/>
  <c r="F70" i="2"/>
  <c r="E70" i="2"/>
  <c r="H69" i="2"/>
  <c r="F69" i="2"/>
  <c r="E69" i="2"/>
  <c r="J68" i="2"/>
  <c r="I68" i="2"/>
  <c r="I67" i="2"/>
  <c r="H67" i="2"/>
  <c r="G67" i="2"/>
  <c r="J67" i="2" s="1"/>
  <c r="F67" i="2"/>
  <c r="E67" i="2"/>
  <c r="J66" i="2"/>
  <c r="I66" i="2"/>
  <c r="J65" i="2"/>
  <c r="I65" i="2"/>
  <c r="H65" i="2"/>
  <c r="G65" i="2"/>
  <c r="F65" i="2"/>
  <c r="E65" i="2"/>
  <c r="J64" i="2"/>
  <c r="I64" i="2"/>
  <c r="E64" i="2"/>
  <c r="I63" i="2"/>
  <c r="H63" i="2"/>
  <c r="G63" i="2"/>
  <c r="G62" i="2" s="1"/>
  <c r="J62" i="2" s="1"/>
  <c r="F63" i="2"/>
  <c r="E63" i="2"/>
  <c r="H62" i="2"/>
  <c r="F62" i="2"/>
  <c r="E62" i="2"/>
  <c r="J61" i="2"/>
  <c r="I61" i="2"/>
  <c r="J60" i="2"/>
  <c r="I60" i="2"/>
  <c r="H60" i="2"/>
  <c r="G60" i="2"/>
  <c r="J59" i="2"/>
  <c r="I59" i="2"/>
  <c r="D59" i="2"/>
  <c r="J58" i="2"/>
  <c r="I58" i="2"/>
  <c r="H58" i="2"/>
  <c r="G58" i="2"/>
  <c r="F58" i="2"/>
  <c r="E58" i="2"/>
  <c r="J57" i="2"/>
  <c r="I57" i="2"/>
  <c r="J56" i="2"/>
  <c r="I56" i="2"/>
  <c r="J55" i="2"/>
  <c r="I55" i="2"/>
  <c r="H55" i="2"/>
  <c r="G55" i="2"/>
  <c r="J54" i="2"/>
  <c r="I54" i="2"/>
  <c r="J53" i="2"/>
  <c r="I53" i="2"/>
  <c r="H53" i="2"/>
  <c r="G53" i="2"/>
  <c r="J52" i="2"/>
  <c r="I52" i="2"/>
  <c r="J51" i="2"/>
  <c r="I51" i="2"/>
  <c r="H51" i="2"/>
  <c r="G51" i="2"/>
  <c r="J50" i="2"/>
  <c r="I50" i="2"/>
  <c r="J49" i="2"/>
  <c r="I49" i="2"/>
  <c r="H49" i="2"/>
  <c r="G49" i="2"/>
  <c r="J48" i="2"/>
  <c r="I48" i="2"/>
  <c r="J47" i="2"/>
  <c r="I47" i="2"/>
  <c r="J46" i="2"/>
  <c r="I46" i="2"/>
  <c r="H46" i="2"/>
  <c r="G46" i="2"/>
  <c r="J45" i="2"/>
  <c r="I45" i="2"/>
  <c r="J44" i="2"/>
  <c r="I44" i="2"/>
  <c r="J43" i="2"/>
  <c r="I43" i="2"/>
  <c r="H43" i="2"/>
  <c r="G43" i="2"/>
  <c r="J42" i="2"/>
  <c r="I42" i="2"/>
  <c r="J41" i="2"/>
  <c r="I41" i="2"/>
  <c r="H41" i="2"/>
  <c r="G41" i="2"/>
  <c r="J40" i="2"/>
  <c r="I40" i="2"/>
  <c r="J39" i="2"/>
  <c r="I39" i="2"/>
  <c r="H39" i="2"/>
  <c r="G39" i="2"/>
  <c r="I38" i="2"/>
  <c r="H37" i="2"/>
  <c r="G37" i="2"/>
  <c r="J37" i="2" s="1"/>
  <c r="F37" i="2"/>
  <c r="E37" i="2"/>
  <c r="H36" i="2"/>
  <c r="F36" i="2"/>
  <c r="E36" i="2"/>
  <c r="J35" i="2"/>
  <c r="I35" i="2"/>
  <c r="J34" i="2"/>
  <c r="I34" i="2"/>
  <c r="H34" i="2"/>
  <c r="G34" i="2"/>
  <c r="F34" i="2"/>
  <c r="E34" i="2"/>
  <c r="E33" i="2"/>
  <c r="H31" i="2"/>
  <c r="G31" i="2"/>
  <c r="J31" i="2" s="1"/>
  <c r="F31" i="2"/>
  <c r="E31" i="2"/>
  <c r="J30" i="2"/>
  <c r="I30" i="2"/>
  <c r="J29" i="2"/>
  <c r="I29" i="2"/>
  <c r="H29" i="2"/>
  <c r="G29" i="2"/>
  <c r="F29" i="2"/>
  <c r="E29" i="2"/>
  <c r="H28" i="2"/>
  <c r="G28" i="2"/>
  <c r="J28" i="2" s="1"/>
  <c r="F28" i="2"/>
  <c r="E28" i="2"/>
  <c r="J27" i="2"/>
  <c r="I27" i="2"/>
  <c r="G27" i="2"/>
  <c r="J26" i="2"/>
  <c r="I26" i="2"/>
  <c r="H26" i="2"/>
  <c r="G26" i="2"/>
  <c r="F26" i="2"/>
  <c r="E26" i="2"/>
  <c r="J25" i="2"/>
  <c r="I25" i="2"/>
  <c r="H24" i="2"/>
  <c r="G24" i="2"/>
  <c r="J24" i="2" s="1"/>
  <c r="F24" i="2"/>
  <c r="E24" i="2"/>
  <c r="J23" i="2"/>
  <c r="I23" i="2"/>
  <c r="E23" i="2"/>
  <c r="H22" i="2"/>
  <c r="G22" i="2"/>
  <c r="G21" i="2" s="1"/>
  <c r="I21" i="2" s="1"/>
  <c r="F22" i="2"/>
  <c r="E22" i="2"/>
  <c r="H21" i="2"/>
  <c r="F21" i="2"/>
  <c r="E21" i="2"/>
  <c r="J20" i="2"/>
  <c r="I20" i="2"/>
  <c r="J19" i="2"/>
  <c r="I19" i="2"/>
  <c r="J18" i="2"/>
  <c r="I18" i="2"/>
  <c r="H18" i="2"/>
  <c r="G18" i="2"/>
  <c r="J17" i="2"/>
  <c r="I17" i="2"/>
  <c r="J16" i="2"/>
  <c r="I16" i="2"/>
  <c r="H16" i="2"/>
  <c r="G16" i="2"/>
  <c r="J15" i="2"/>
  <c r="I15" i="2"/>
  <c r="J14" i="2"/>
  <c r="I14" i="2"/>
  <c r="H14" i="2"/>
  <c r="G14" i="2"/>
  <c r="J13" i="2"/>
  <c r="H12" i="2"/>
  <c r="G12" i="2"/>
  <c r="G11" i="2" s="1"/>
  <c r="F12" i="2"/>
  <c r="F11" i="2" s="1"/>
  <c r="F8" i="2" s="1"/>
  <c r="E12" i="2"/>
  <c r="H11" i="2"/>
  <c r="E11" i="2"/>
  <c r="E8" i="2" s="1"/>
  <c r="J10" i="2"/>
  <c r="I10" i="2"/>
  <c r="J9" i="2"/>
  <c r="I9" i="2"/>
  <c r="H9" i="2"/>
  <c r="G9" i="2"/>
  <c r="F9" i="2"/>
  <c r="E9" i="2"/>
  <c r="H8" i="2"/>
  <c r="J263" i="2" l="1"/>
  <c r="I263" i="2"/>
  <c r="I269" i="2"/>
  <c r="J269" i="2"/>
  <c r="I80" i="2"/>
  <c r="G79" i="2"/>
  <c r="I110" i="2"/>
  <c r="I108" i="2"/>
  <c r="J108" i="2"/>
  <c r="J63" i="2"/>
  <c r="I22" i="2"/>
  <c r="J22" i="2"/>
  <c r="I408" i="2"/>
  <c r="G428" i="2"/>
  <c r="I429" i="2"/>
  <c r="G426" i="2"/>
  <c r="I427" i="2"/>
  <c r="G424" i="2"/>
  <c r="J422" i="2"/>
  <c r="I422" i="2"/>
  <c r="G403" i="2"/>
  <c r="G402" i="2" s="1"/>
  <c r="G401" i="2" s="1"/>
  <c r="G394" i="2" s="1"/>
  <c r="I403" i="2"/>
  <c r="J389" i="2"/>
  <c r="I389" i="2"/>
  <c r="I390" i="2"/>
  <c r="J390" i="2"/>
  <c r="G386" i="2"/>
  <c r="J387" i="2"/>
  <c r="I387" i="2"/>
  <c r="I388" i="2"/>
  <c r="J388" i="2"/>
  <c r="I378" i="2"/>
  <c r="G346" i="2"/>
  <c r="G345" i="2" s="1"/>
  <c r="G344" i="2" s="1"/>
  <c r="I344" i="2" s="1"/>
  <c r="J329" i="2"/>
  <c r="I329" i="2"/>
  <c r="G313" i="2"/>
  <c r="J330" i="2"/>
  <c r="G294" i="2"/>
  <c r="J297" i="2"/>
  <c r="I297" i="2"/>
  <c r="J299" i="2"/>
  <c r="J258" i="2"/>
  <c r="I258" i="2"/>
  <c r="G257" i="2"/>
  <c r="I259" i="2"/>
  <c r="J259" i="2"/>
  <c r="I293" i="2"/>
  <c r="J292" i="2"/>
  <c r="I251" i="2"/>
  <c r="G249" i="2"/>
  <c r="I250" i="2"/>
  <c r="I239" i="2"/>
  <c r="G238" i="2"/>
  <c r="J239" i="2"/>
  <c r="J241" i="2"/>
  <c r="G207" i="2"/>
  <c r="J208" i="2"/>
  <c r="I208" i="2"/>
  <c r="I209" i="2"/>
  <c r="J209" i="2"/>
  <c r="G183" i="2"/>
  <c r="I184" i="2"/>
  <c r="I176" i="2"/>
  <c r="I159" i="2"/>
  <c r="J159" i="2"/>
  <c r="I160" i="2"/>
  <c r="J160" i="2"/>
  <c r="J156" i="2"/>
  <c r="I145" i="2"/>
  <c r="J145" i="2"/>
  <c r="G144" i="2"/>
  <c r="G141" i="2" s="1"/>
  <c r="J146" i="2"/>
  <c r="G136" i="2"/>
  <c r="G135" i="2" s="1"/>
  <c r="I136" i="2"/>
  <c r="I137" i="2"/>
  <c r="J137" i="2"/>
  <c r="E7" i="2"/>
  <c r="I134" i="2"/>
  <c r="G131" i="2"/>
  <c r="I131" i="2" s="1"/>
  <c r="I133" i="2"/>
  <c r="G125" i="2"/>
  <c r="I126" i="2"/>
  <c r="G118" i="2"/>
  <c r="I119" i="2"/>
  <c r="J107" i="2"/>
  <c r="J102" i="2"/>
  <c r="G99" i="2"/>
  <c r="J99" i="2" s="1"/>
  <c r="I102" i="2"/>
  <c r="J77" i="2"/>
  <c r="I77" i="2"/>
  <c r="G76" i="2"/>
  <c r="J78" i="2"/>
  <c r="G69" i="2"/>
  <c r="I70" i="2"/>
  <c r="I62" i="2"/>
  <c r="G36" i="2"/>
  <c r="I37" i="2"/>
  <c r="I31" i="2"/>
  <c r="I28" i="2"/>
  <c r="I32" i="2"/>
  <c r="J21" i="2"/>
  <c r="I24" i="2"/>
  <c r="J11" i="2"/>
  <c r="G8" i="2"/>
  <c r="I11" i="2"/>
  <c r="I12" i="2"/>
  <c r="J12" i="2"/>
  <c r="I511" i="2"/>
  <c r="G509" i="2"/>
  <c r="G491" i="2"/>
  <c r="I492" i="2"/>
  <c r="I493" i="2"/>
  <c r="I458" i="2"/>
  <c r="I274" i="2"/>
  <c r="F336" i="2"/>
  <c r="F287" i="2"/>
  <c r="I83" i="2"/>
  <c r="G287" i="2"/>
  <c r="H402" i="2"/>
  <c r="E336" i="2"/>
  <c r="E554" i="2"/>
  <c r="F7" i="2"/>
  <c r="H401" i="2"/>
  <c r="I292" i="2"/>
  <c r="I342" i="2"/>
  <c r="G82" i="2"/>
  <c r="G273" i="2"/>
  <c r="G262" i="2" s="1"/>
  <c r="H291" i="2"/>
  <c r="H341" i="2"/>
  <c r="H82" i="2"/>
  <c r="H273" i="2"/>
  <c r="I289" i="2"/>
  <c r="H288" i="2"/>
  <c r="G459" i="2"/>
  <c r="G455" i="2"/>
  <c r="I436" i="2"/>
  <c r="G513" i="2"/>
  <c r="J514" i="2"/>
  <c r="I514" i="2"/>
  <c r="J532" i="2"/>
  <c r="I532" i="2"/>
  <c r="I523" i="2"/>
  <c r="I524" i="2"/>
  <c r="G520" i="2"/>
  <c r="J520" i="2" s="1"/>
  <c r="I488" i="2"/>
  <c r="G484" i="2"/>
  <c r="J79" i="2" l="1"/>
  <c r="I79" i="2"/>
  <c r="J428" i="2"/>
  <c r="I428" i="2"/>
  <c r="J426" i="2"/>
  <c r="I426" i="2"/>
  <c r="J424" i="2"/>
  <c r="I424" i="2"/>
  <c r="G421" i="2"/>
  <c r="J421" i="2" s="1"/>
  <c r="G420" i="2"/>
  <c r="J403" i="2"/>
  <c r="I402" i="2"/>
  <c r="J402" i="2"/>
  <c r="J386" i="2"/>
  <c r="I386" i="2"/>
  <c r="F554" i="2"/>
  <c r="I346" i="2"/>
  <c r="J346" i="2"/>
  <c r="J345" i="2"/>
  <c r="I345" i="2"/>
  <c r="J313" i="2"/>
  <c r="I313" i="2"/>
  <c r="G305" i="2"/>
  <c r="J294" i="2"/>
  <c r="I294" i="2"/>
  <c r="J257" i="2"/>
  <c r="I257" i="2"/>
  <c r="J249" i="2"/>
  <c r="I249" i="2"/>
  <c r="G248" i="2"/>
  <c r="J238" i="2"/>
  <c r="I238" i="2"/>
  <c r="G237" i="2"/>
  <c r="G197" i="2"/>
  <c r="J207" i="2"/>
  <c r="I207" i="2"/>
  <c r="J183" i="2"/>
  <c r="I183" i="2"/>
  <c r="G173" i="2"/>
  <c r="J141" i="2"/>
  <c r="I141" i="2"/>
  <c r="J136" i="2"/>
  <c r="J135" i="2"/>
  <c r="I135" i="2"/>
  <c r="J131" i="2"/>
  <c r="G130" i="2"/>
  <c r="J130" i="2" s="1"/>
  <c r="I125" i="2"/>
  <c r="J125" i="2"/>
  <c r="J118" i="2"/>
  <c r="I118" i="2"/>
  <c r="I99" i="2"/>
  <c r="G96" i="2"/>
  <c r="I96" i="2" s="1"/>
  <c r="J96" i="2"/>
  <c r="I76" i="2"/>
  <c r="J76" i="2"/>
  <c r="J69" i="2"/>
  <c r="I69" i="2"/>
  <c r="G33" i="2"/>
  <c r="I36" i="2"/>
  <c r="J36" i="2"/>
  <c r="I8" i="2"/>
  <c r="J8" i="2"/>
  <c r="J509" i="2"/>
  <c r="G508" i="2"/>
  <c r="I509" i="2"/>
  <c r="J491" i="2"/>
  <c r="I491" i="2"/>
  <c r="G336" i="2"/>
  <c r="J344" i="2"/>
  <c r="J291" i="2"/>
  <c r="I291" i="2"/>
  <c r="J273" i="2"/>
  <c r="H262" i="2"/>
  <c r="I273" i="2"/>
  <c r="J82" i="2"/>
  <c r="I82" i="2"/>
  <c r="H33" i="2"/>
  <c r="J401" i="2"/>
  <c r="I401" i="2"/>
  <c r="H394" i="2"/>
  <c r="J341" i="2"/>
  <c r="H336" i="2"/>
  <c r="I341" i="2"/>
  <c r="J288" i="2"/>
  <c r="H287" i="2"/>
  <c r="I288" i="2"/>
  <c r="J459" i="2"/>
  <c r="I459" i="2"/>
  <c r="J455" i="2"/>
  <c r="I455" i="2"/>
  <c r="J513" i="2"/>
  <c r="I513" i="2"/>
  <c r="I520" i="2"/>
  <c r="G519" i="2"/>
  <c r="J519" i="2" s="1"/>
  <c r="J484" i="2"/>
  <c r="I484" i="2"/>
  <c r="I421" i="2" l="1"/>
  <c r="J420" i="2"/>
  <c r="I420" i="2"/>
  <c r="J305" i="2"/>
  <c r="I305" i="2"/>
  <c r="J248" i="2"/>
  <c r="I248" i="2"/>
  <c r="J237" i="2"/>
  <c r="I237" i="2"/>
  <c r="I197" i="2"/>
  <c r="J197" i="2"/>
  <c r="G140" i="2"/>
  <c r="I140" i="2" s="1"/>
  <c r="I173" i="2"/>
  <c r="J173" i="2"/>
  <c r="G124" i="2"/>
  <c r="J124" i="2" s="1"/>
  <c r="I130" i="2"/>
  <c r="J508" i="2"/>
  <c r="I508" i="2"/>
  <c r="G430" i="2"/>
  <c r="J287" i="2"/>
  <c r="I287" i="2"/>
  <c r="H7" i="2"/>
  <c r="J33" i="2"/>
  <c r="I33" i="2"/>
  <c r="J336" i="2"/>
  <c r="I336" i="2"/>
  <c r="I262" i="2"/>
  <c r="J262" i="2"/>
  <c r="J394" i="2"/>
  <c r="I394" i="2"/>
  <c r="I519" i="2"/>
  <c r="I430" i="2"/>
  <c r="J430" i="2"/>
  <c r="J140" i="2" l="1"/>
  <c r="G7" i="2"/>
  <c r="G554" i="2" s="1"/>
  <c r="I124" i="2"/>
  <c r="H554" i="2"/>
  <c r="J554" i="2" l="1"/>
  <c r="I7" i="2"/>
  <c r="J7" i="2"/>
  <c r="N408" i="2" s="1"/>
  <c r="I554" i="2"/>
</calcChain>
</file>

<file path=xl/sharedStrings.xml><?xml version="1.0" encoding="utf-8"?>
<sst xmlns="http://schemas.openxmlformats.org/spreadsheetml/2006/main" count="1215" uniqueCount="583">
  <si>
    <t>Приложение № 8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"Гиагинский район"                                                                                                                                                                                                                     от "21 " декабря 2023 года № 123</t>
  </si>
  <si>
    <t xml:space="preserve">Распределение бюджетных ассигнований бюджета муниципального образования "Гиагинский район" на 2024 год по целевым статьям (муниципальным программам и непрограммным направлениям деятельности), группам видов расходов классификации расходов бюджетов Российской Федерации
</t>
  </si>
  <si>
    <t>тысяч рублей</t>
  </si>
  <si>
    <t>№ п/п</t>
  </si>
  <si>
    <t>Наименование</t>
  </si>
  <si>
    <t>Целевая статья расходов</t>
  </si>
  <si>
    <t>Вид расхо-дов</t>
  </si>
  <si>
    <t>Бюджет МО</t>
  </si>
  <si>
    <t>Бюджет РА</t>
  </si>
  <si>
    <t>ВСЕГО               на 2024 год</t>
  </si>
  <si>
    <t>Фактическое исполнение на 01.10.2023 год</t>
  </si>
  <si>
    <t>Отклонение  (+;-)</t>
  </si>
  <si>
    <t>Процент исполнения к уточненному плану</t>
  </si>
  <si>
    <t xml:space="preserve">Муниципальная программа муниципального образования "Гиагинский район" "Развитие образования" </t>
  </si>
  <si>
    <t>62 0 00 00000</t>
  </si>
  <si>
    <t/>
  </si>
  <si>
    <t>Подпрограмма «Развитие дошкольного образования»</t>
  </si>
  <si>
    <t>62 1 00 00000</t>
  </si>
  <si>
    <t>Обеспечение безопасности воспитанников и работников дошкольных образовательных организаций</t>
  </si>
  <si>
    <t>62 1 02 00000</t>
  </si>
  <si>
    <t>Предоставление субсидий бюджетным, автономным учреждениям и иным некоммерческим организациям</t>
  </si>
  <si>
    <t>600</t>
  </si>
  <si>
    <t>Развитие  дошкольного образования</t>
  </si>
  <si>
    <t>62 1 03 00000</t>
  </si>
  <si>
    <t>Создание благоприятных условий для воспитанников дошкольных образовательных организаций в соответствии с требованиями санитарных норм и правил</t>
  </si>
  <si>
    <t>62 1 03 00010</t>
  </si>
  <si>
    <t>Проведение конкурсов. фестивалей. мероприятий</t>
  </si>
  <si>
    <t>62 1 03 00020</t>
  </si>
  <si>
    <t>Благоустройство дошкольных учреждений</t>
  </si>
  <si>
    <t>62 1 03 00030</t>
  </si>
  <si>
    <t>Поощерение педагогических работников. развивающих творческие способности детей и организаций. внедряющих инновационные технологии</t>
  </si>
  <si>
    <t>62 1 03 00040</t>
  </si>
  <si>
    <t>Закупка товаров, работ и услуг для обеспечения государственных (муниципальных) нужд</t>
  </si>
  <si>
    <t>Обеспечение деятельности подведомственного бюджетного учреждения</t>
  </si>
  <si>
    <t>62 1 04 00000</t>
  </si>
  <si>
    <t>Обеспечение деятельности (оказание услуг) подведомственных муниципальных бюджетных учреждений</t>
  </si>
  <si>
    <t>62 1 04 00600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</si>
  <si>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</si>
  <si>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62 1 04 60060</t>
  </si>
  <si>
    <t>Частичная компенсация дополнительных расходов на повышение оплаты труда работников бюджетной сферы</t>
  </si>
  <si>
    <t>62 1 04 S0550</t>
  </si>
  <si>
    <t>Мероприятия, реализуемые за счет межбюджетных трансфертов, предоставляемых из республиканского бюджета Республики Адыгея бюджету муниципального образования "Гиагинский район"</t>
  </si>
  <si>
    <t>62 1 05 00000</t>
  </si>
  <si>
    <t>Компенсация родительской платы за присмотр и уход за детьми посещающими образовательные организации, реализующие  общеобразовательную программу дошкольного образования</t>
  </si>
  <si>
    <t>62 1 05 60080</t>
  </si>
  <si>
    <t>Социальное обеспечение и иные выплаты населению</t>
  </si>
  <si>
    <t>Компенсационные выплаты на оплату жилья и коммунальных услуг</t>
  </si>
  <si>
    <t>62 1 05 69010</t>
  </si>
  <si>
    <t>Подпрограмма "Развитие общего образования"</t>
  </si>
  <si>
    <t>62 2 00 00000</t>
  </si>
  <si>
    <t>Обеспечение безопасности обучающихся и работников в общеобразовательных организациях</t>
  </si>
  <si>
    <t>62 2 02 00000</t>
  </si>
  <si>
    <t>Развитие общеобразовательных организаций</t>
  </si>
  <si>
    <t>62 2 03 00000</t>
  </si>
  <si>
    <t>Питание учащихся</t>
  </si>
  <si>
    <t>62 2 03 00010</t>
  </si>
  <si>
    <t>Создание благоприятных условий для обучающихся образовательных организаций в соответствии с требованиями санитарных норм и правил</t>
  </si>
  <si>
    <t>62 2 03 00020</t>
  </si>
  <si>
    <t>Участие в спортивных соревнованиях, турнирах различных уровней</t>
  </si>
  <si>
    <t>62 2 03 00030</t>
  </si>
  <si>
    <t>Проведение торжественных мероприятий, посвященных чествованию победителей, призеров районных олимпиад, медалистов и выпускников образовательных учреждений</t>
  </si>
  <si>
    <t>62 2 03 00040</t>
  </si>
  <si>
    <t>Выплата стипендий учащимся - победителям республиканских, всероссийских и международных олимпиад, конкурсов, соревнований</t>
  </si>
  <si>
    <t>62 2 03 00050</t>
  </si>
  <si>
    <t>Организация работы летних оздоровительных лагерей с дневным пребыванием детей на базе общеобразовательных организаций</t>
  </si>
  <si>
    <t>62 2 03 00060</t>
  </si>
  <si>
    <t>Организация временного трудоустройства несовершеннолетних обучающихся общеобразовательных организаций в возрасте от 14 до 18 лет в свободное от учебы время</t>
  </si>
  <si>
    <t>62 2 03 00070</t>
  </si>
  <si>
    <t xml:space="preserve">Благоустройство общеобразовательных организаций </t>
  </si>
  <si>
    <t>62 2 03 00080</t>
  </si>
  <si>
    <t>Поощерение педагогов. развивающих творческие способности обучающихся и общеобразовательных организаций, внедряющих инновационные технологии</t>
  </si>
  <si>
    <t>62 2 03 00090</t>
  </si>
  <si>
    <t>Обеспечение отдыха и оздоровления детей в оздоровительных лагерях с дневным пребыванием детей на базе общеобразовательных организаций</t>
  </si>
  <si>
    <t>62 2 03 60110</t>
  </si>
  <si>
    <t>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</si>
  <si>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62 2 03 60800</t>
  </si>
  <si>
    <t>62 2 04 00000</t>
  </si>
  <si>
    <t>62 2 04 00600</t>
  </si>
  <si>
    <t>62 2 04 S0550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</si>
  <si>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</si>
  <si>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62 2 04 60090</t>
  </si>
  <si>
    <t>62 2 05 00000</t>
  </si>
  <si>
    <t>62 2 05 69010</t>
  </si>
  <si>
    <t>Компенсация за работу по подготовке и проведению единого государственного экзамена педагогическими работниками муниципальных образовательных организаций, участвующих в проведении единого государственного экзамена</t>
  </si>
  <si>
    <t>62 2 05 60220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</si>
  <si>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</si>
  <si>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62 2 06 00010</t>
  </si>
  <si>
    <t>Компенсация за работу по подготовке и проведению единого государственного экзамена</t>
  </si>
  <si>
    <t>62 2 09 00000</t>
  </si>
  <si>
    <t>Компенсация за работу по подготовке и проведению  единого государственного экзамена педагогическим работникам муниципальных образовательных организаций, участвующих в проведении единого государственного экзамена</t>
  </si>
  <si>
    <t>62 2 09 60220</t>
  </si>
  <si>
    <t>Ежемесячное денежное вознаграждение за классное руководство педагогическим работникам  общеобразовательных организаций</t>
  </si>
  <si>
    <t>62 2 10 00000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</si>
  <si>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</si>
  <si>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62 2 10 53030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</si>
  <si>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</si>
  <si>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62 2 11 00000</t>
  </si>
  <si>
    <t xml:space="preserve">Организация бесплатного горячего питания обучающихся, получающих начальное общее образование в муниципальных образовательных организациях </t>
  </si>
  <si>
    <t>62 2 11 L3040</t>
  </si>
  <si>
    <t>Стипендии студентам поступившим на целевое обучение муниципального образования "Гиагинский район"</t>
  </si>
  <si>
    <t>62 2 12 00000</t>
  </si>
  <si>
    <t>Стипендии студентам поступившим на целевое обучение</t>
  </si>
  <si>
    <t>62 2 12 00010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</si>
  <si>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</si>
  <si>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62 2 13 50500</t>
  </si>
  <si>
    <t>Мероприятия в рамках регионального проекта "Успех каждого ребенка"</t>
  </si>
  <si>
    <t>62 2 E2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</si>
  <si>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</si>
  <si>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62 2 E2 50980</t>
  </si>
  <si>
    <t>Региональный проект "Патриотическое воспитание граждан Российской Федерации"</t>
  </si>
  <si>
    <t>62 2 EВ 00000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</si>
  <si>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</si>
  <si>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62 2 EВ 51790</t>
  </si>
  <si>
    <t>Подпрограмма "Развитие дополнительного образования"</t>
  </si>
  <si>
    <t>62 3 00 00000</t>
  </si>
  <si>
    <t>Обеспечение безопасности обучающихся и работников организаций дополнительного образования</t>
  </si>
  <si>
    <t>62 3 02 00000</t>
  </si>
  <si>
    <t>62 3 03 00000</t>
  </si>
  <si>
    <t>62 3 03 00600</t>
  </si>
  <si>
    <t>Обеспечение функционирования модели персонифицированного финансирования  дополнительного образования детей</t>
  </si>
  <si>
    <t>62 3 03 0П600</t>
  </si>
  <si>
    <t>Иные бюджетные ассигнования</t>
  </si>
  <si>
    <t>62 3 03 S0550</t>
  </si>
  <si>
    <t>Развитие учреждений дополнительного образования</t>
  </si>
  <si>
    <t>62 3 04 00000</t>
  </si>
  <si>
    <t>Проведение и участие в спортивных соревнованиях, турнирах различных уровней</t>
  </si>
  <si>
    <t>62 3 04 00010</t>
  </si>
  <si>
    <t>Участие в мероприятиях, конкурсах, слетах, олимпиадах, фестивалях, спортивных соревнованиях</t>
  </si>
  <si>
    <t>62 3 04 00030</t>
  </si>
  <si>
    <t>Создание благоприятных условий для воспитанников организаций дополнительного образования в соответствии с требованиями санитарных норм и правил</t>
  </si>
  <si>
    <t>62 3 04 00040</t>
  </si>
  <si>
    <t>Поощрение педагогических работников, развивающих творческие способности детей</t>
  </si>
  <si>
    <t>62 3 04 00050</t>
  </si>
  <si>
    <t>Благоустройство общеобразовательных организаций</t>
  </si>
  <si>
    <t>62 3 04 00080</t>
  </si>
  <si>
    <t>62 3 05 00000</t>
  </si>
  <si>
    <t>62 3 05 69010</t>
  </si>
  <si>
    <t>Создание в организациях дополнительного образования условий для занятий физической культурой и спортом</t>
  </si>
  <si>
    <t>62 3 06 00000</t>
  </si>
  <si>
    <t>Создание в организациях дополнительного образования, расположенных в сельской местности, условий для занятий физической культурой и спортом</t>
  </si>
  <si>
    <t>62 3 06 00010</t>
  </si>
  <si>
    <t>Подпрограмма «Организационное и методическое обеспечение реализации муниципальной программы»</t>
  </si>
  <si>
    <t>62 4 00 00000</t>
  </si>
  <si>
    <t>Обеспечение деятельности управления образования администрации муниципального образования "Гиагинский район"</t>
  </si>
  <si>
    <t>62 4 01 00000</t>
  </si>
  <si>
    <t>Обеспечение функций органов местного самоуправления</t>
  </si>
  <si>
    <t>62 4 01 00400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</si>
  <si>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</si>
  <si>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</si>
  <si>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</si>
  <si>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800</t>
  </si>
  <si>
    <t>Обеспечение деятельности муниципального казенного учреждения "Централизованная бухгалтерия при управлении образования администрации муниципального образования "Гиагинский район"</t>
  </si>
  <si>
    <t>62 4 02 00000</t>
  </si>
  <si>
    <t>Обеспечение  деятельности подведомственных муниципальных казенных учреждений</t>
  </si>
  <si>
    <t>62 4 02 00500</t>
  </si>
  <si>
    <t>Обеспечение деятельности муниципального казенного учреждения образования "Районный методический кабинет" муниципального образования "Гиагинский район"</t>
  </si>
  <si>
    <t>62 4 03 00000</t>
  </si>
  <si>
    <t>62 4 03 00500</t>
  </si>
  <si>
    <t>Муниципальная программа муниципального образования "Гиагинский район" "Развитие культуры и искусства"</t>
  </si>
  <si>
    <t>63 0 00 00000</t>
  </si>
  <si>
    <t>Подпрограмма "Сохранение и развитие культурно-досуговой деятельности"</t>
  </si>
  <si>
    <t>63 1 00 00000</t>
  </si>
  <si>
    <t>Обеспечение безопасности в учреждениях культуры</t>
  </si>
  <si>
    <t>63 1 01 00000</t>
  </si>
  <si>
    <t>Укрепление и развитие материально-технической базы, включая капитальный ремонт и реконструкцию зданий и помещений, обеспечение их современным оборудованием за счет средств бюджета муниципального образования "Гиагинский район"</t>
  </si>
  <si>
    <t>63 1 02 00000</t>
  </si>
  <si>
    <t>63 1 02 00010</t>
  </si>
  <si>
    <t>Мероприятие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</si>
  <si>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63 1 02 L4670</t>
  </si>
  <si>
    <t>63 1 03 00000</t>
  </si>
  <si>
    <t>63 1 03 00600</t>
  </si>
  <si>
    <t>63 1 03 S0550</t>
  </si>
  <si>
    <t>Развитие казачьей культуры в муниципальном бюджетном учреждении культурно-досуговой деятельности</t>
  </si>
  <si>
    <t>63 1 04 00000</t>
  </si>
  <si>
    <t>63 1 05 00000</t>
  </si>
  <si>
    <t>63 1 05 69010</t>
  </si>
  <si>
    <t>Благоустройство территории учреждений культуры</t>
  </si>
  <si>
    <t>63 1 06 00000</t>
  </si>
  <si>
    <t>Поддержка отрасли культуры (муниципальная поддержка лучших сельских учреждений культуры)</t>
  </si>
  <si>
    <t>63 1 06 L5195</t>
  </si>
  <si>
    <t>Поддержка добровольческих (волонтерских) организаций в целях стимулирования их работы, в том числе по реализации социокультурных проектов</t>
  </si>
  <si>
    <t>63 1 07 00000</t>
  </si>
  <si>
    <t>Мероприятия в рамках регионального проекта "Обеспечение качественно нового уровня развития инфраструктуры культуры" ("Культурная среда")</t>
  </si>
  <si>
    <t>63 1 А1 00000</t>
  </si>
  <si>
    <t>Развитие сети учреждений культурно-досуговой деятельности</t>
  </si>
  <si>
    <t>63 1 А1 55130</t>
  </si>
  <si>
    <t>Государственная поддержка отрасли культуры</t>
  </si>
  <si>
    <t>63 1 A2 00000</t>
  </si>
  <si>
    <t>Государственная поддержка отрасли культуры (государственная поддержка лучших работников сельских учреждений культуры)</t>
  </si>
  <si>
    <t>63 1 A2 55195</t>
  </si>
  <si>
    <t>Государственная поддержка отрасли культуры (государственная поддержка лучших сельских учреждений культуры)</t>
  </si>
  <si>
    <t>63 1 А2 55196</t>
  </si>
  <si>
    <t>Подпрограмма "Сохранение и развитие музейного дела"</t>
  </si>
  <si>
    <t>63 2 00 00000</t>
  </si>
  <si>
    <t>63 2 01 00000</t>
  </si>
  <si>
    <t>Укрепление и развитие материально-технической базы, включая капитальный, текущий ремонт, реконструкцию, строительство зданий и помещений, обеспечение их современным оборудованием</t>
  </si>
  <si>
    <t>63 2 02 00000</t>
  </si>
  <si>
    <t>63 2 03 00000</t>
  </si>
  <si>
    <t>63 2 03 00600</t>
  </si>
  <si>
    <t>63 2 03 S0550</t>
  </si>
  <si>
    <t>63 2 04 00000</t>
  </si>
  <si>
    <t>63 2 04 69010</t>
  </si>
  <si>
    <t xml:space="preserve">Поддержка отрасли культуры </t>
  </si>
  <si>
    <t>63 2 05 00000</t>
  </si>
  <si>
    <t>63 2 05 L5195</t>
  </si>
  <si>
    <t>Техническое оснащение музеев</t>
  </si>
  <si>
    <t>63 2 А1 00000</t>
  </si>
  <si>
    <t>Техническое оснащения муниципальных музеев</t>
  </si>
  <si>
    <t>63 2 А1 55900</t>
  </si>
  <si>
    <t xml:space="preserve">Государственная поддержка отрасли культуры </t>
  </si>
  <si>
    <t>63 2 A2 00000</t>
  </si>
  <si>
    <t>63 2 A2 55195</t>
  </si>
  <si>
    <t>63 2 А2 55196</t>
  </si>
  <si>
    <t>Подпрограмма "Сохранение и развитие библиотечного обслуживания"</t>
  </si>
  <si>
    <t>63 3 00 00000</t>
  </si>
  <si>
    <t>Развитие библиотечного дела</t>
  </si>
  <si>
    <t>63 3 02 00000</t>
  </si>
  <si>
    <t>63 3 02 00040</t>
  </si>
  <si>
    <t>63 3 03 00000</t>
  </si>
  <si>
    <t>63 3 03 00600</t>
  </si>
  <si>
    <t>63 3 03 S0550</t>
  </si>
  <si>
    <t>63 3 04 00000</t>
  </si>
  <si>
    <t>63 3 04 69010</t>
  </si>
  <si>
    <t>Комплектование библиотечных фондов</t>
  </si>
  <si>
    <t>63 3 05 00000</t>
  </si>
  <si>
    <t>Комплектование библиотечных фондов за счет средств бюджета муниципального образования "Гиагинский район"</t>
  </si>
  <si>
    <t>63 3 05 00010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</si>
  <si>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</si>
  <si>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63 3 05 L5194</t>
  </si>
  <si>
    <t xml:space="preserve"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</t>
  </si>
  <si>
    <t>63 3 05 L5190</t>
  </si>
  <si>
    <t>63 3 А2 00000</t>
  </si>
  <si>
    <t>63 3 А2 55195</t>
  </si>
  <si>
    <t>Подпрограмма "Сохранение и развитие дополнительного образования в сфере культуры"</t>
  </si>
  <si>
    <t>63 5 00 00000</t>
  </si>
  <si>
    <t>Благоустройство территорий учреждений дополнительного образования</t>
  </si>
  <si>
    <t>63 5 02 00000</t>
  </si>
  <si>
    <t>63 5 03 00000</t>
  </si>
  <si>
    <t>63 5 03 00600</t>
  </si>
  <si>
    <t>63 5 03 S0550</t>
  </si>
  <si>
    <t>63 5 04 00000</t>
  </si>
  <si>
    <t>63 5 04 69010</t>
  </si>
  <si>
    <t>Укрепление и развитие материально-технической базы, включая капитальный ремонт и реконструкцию зданий и помещений, обеспечение их современным оборудованием</t>
  </si>
  <si>
    <t>63 5 05 00000</t>
  </si>
  <si>
    <t>Капитальные вложения в объекты недвижимого имущества государственной (муниципальной) собственности</t>
  </si>
  <si>
    <t>63 5 А1 00000</t>
  </si>
  <si>
    <t>Государственная поддержка отрасли культуры (софинансирование расходных обязательств,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</si>
  <si>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63 5 А1 55193</t>
  </si>
  <si>
    <t>Подпрограмма «Организационное обеспечение реализации муниципальной программы»</t>
  </si>
  <si>
    <t>63 6 00 00000</t>
  </si>
  <si>
    <t>Обеспечение деятельности управления культуры администрации муниципального образования "Гиагинский район"</t>
  </si>
  <si>
    <t>63 6 01 00000</t>
  </si>
  <si>
    <t>63 6 01 00400</t>
  </si>
  <si>
    <t>Обеспечение деятельности муниципального казенного учреждения "Централизованная бухгалтерия при управлении культуры администрации муниципального образования "Гиагинский район"</t>
  </si>
  <si>
    <t>63 6 02 00000</t>
  </si>
  <si>
    <t xml:space="preserve">Обеспечение  деятельности подведомственных муниципальных казенных учреждений </t>
  </si>
  <si>
    <t>63 6 02 00500</t>
  </si>
  <si>
    <t>Обеспечение деятельности муниципального казенного учреждения "Центр технического обеспечения учреждений культуры муниципального образования "Гиагинский район""</t>
  </si>
  <si>
    <t>63 6 03 00000</t>
  </si>
  <si>
    <t>63 6 03 00500</t>
  </si>
  <si>
    <t>63 6 03 S0550</t>
  </si>
  <si>
    <t>63 6 А1 00000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</si>
  <si>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</si>
  <si>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63 6 А1 55194</t>
  </si>
  <si>
    <t>Муниципальная программа муниципального образования "Гиагинский район"  "Развитие малого и среднего предпринимательства муниципального образования "Гиагинский район"</t>
  </si>
  <si>
    <t>64 0 00 00000</t>
  </si>
  <si>
    <t>Реализация мероприятий по поддержке предпринимательской активности населения</t>
  </si>
  <si>
    <t>64 0 01 00000</t>
  </si>
  <si>
    <t>Реализация мероприятий по формированию положительного образа предпринимателя, популяризации предпринимательства</t>
  </si>
  <si>
    <t>64 0 02 00000</t>
  </si>
  <si>
    <t xml:space="preserve">Муниципальная программа муниципального образования "Гиагинский район" "Управление муниципальными финансами" </t>
  </si>
  <si>
    <t>65 0 00 00000</t>
  </si>
  <si>
    <t>Подпрограмма "Совершенствование системы межбюджетных отношений и содействие повышению уровня бюджетной обеспеченности сельских поселений"</t>
  </si>
  <si>
    <t>65 4 00 00000</t>
  </si>
  <si>
    <t>Выравнивание бюджетной обеспеченности сельских поселений</t>
  </si>
  <si>
    <t>65 4 01 00000</t>
  </si>
  <si>
    <t>Дотации на выравнивание бюджетной обеспеченности сельских поселений за счет средств республиканского бюджета</t>
  </si>
  <si>
    <t>65 4 01 00010</t>
  </si>
  <si>
    <t>Межбюджетные трансферты</t>
  </si>
  <si>
    <t>500</t>
  </si>
  <si>
    <t>Дотации на выравнивание бюджетной обеспеченности сельских поселений за счет средств бюджета муниципального образования "Гиагинский район"</t>
  </si>
  <si>
    <t>65 4 01 00020</t>
  </si>
  <si>
    <t>Иные межбюджетные трансферты для финансового обеспечения расходных обязательств по решению вопросов местного значения</t>
  </si>
  <si>
    <t>65 4 03 00040</t>
  </si>
  <si>
    <t>65 4 01 00040</t>
  </si>
  <si>
    <t>Подпрограмма "Обеспечение реализации муниципальной программы муниципального образования "Гиагинский район"  "Управление муниципальными  финансами"</t>
  </si>
  <si>
    <t>65 5 00 00000</t>
  </si>
  <si>
    <t>Обеспечение деятельности управления финансов администрации муниципального образования "Гиагинский район"</t>
  </si>
  <si>
    <t>65 5 01 00000</t>
  </si>
  <si>
    <t>Обеспечение функций государственных органов</t>
  </si>
  <si>
    <t>65 5 01 00400</t>
  </si>
  <si>
    <t xml:space="preserve">Муниципальная программа муниципального образования "Гиагинский район"  "Энергосбережение и повышение энергетической эффективности" </t>
  </si>
  <si>
    <t>66 0 00 00000</t>
  </si>
  <si>
    <t>Реализация мероприятий по энергосбережению и повышению энергетической эффективности</t>
  </si>
  <si>
    <t>66 0 01 00000</t>
  </si>
  <si>
    <t>Субсидии на мероприятия по энергосбережению и повышению энергетической эффективности в муниципальном секторе</t>
  </si>
  <si>
    <t>66 0 02 00000</t>
  </si>
  <si>
    <t>Субсидии на мероприятия по энергосбережению и повышению энергетической эффективности в муниципальном секторе за счет средств республиканского бюджета РА</t>
  </si>
  <si>
    <t>66 0 02 60310</t>
  </si>
  <si>
    <t>Муниципальная программа муниципального образования "Гиагинский район" "Развитие молодежной политики"</t>
  </si>
  <si>
    <t>6Б 0 00 00000</t>
  </si>
  <si>
    <t>Подпрограмма "Поддержка молодежной политики"</t>
  </si>
  <si>
    <t>6Б 1 00 00000</t>
  </si>
  <si>
    <t>Реализация мероприятий по поддержке молодежной политики</t>
  </si>
  <si>
    <t>6Б 1 01 00000</t>
  </si>
  <si>
    <t>Подпрограмма "Профилактика правонарушений, борьба с преступностью и обеспечение безопасности граждан в муниципального образования "Гиагинский район"</t>
  </si>
  <si>
    <t>6Б 2 00 00000</t>
  </si>
  <si>
    <t>Реализация мероприятий по профилактике правонарушений, борьбе с преступностью и обеспечению безопасности граждан</t>
  </si>
  <si>
    <t>6Б 2 01 00000</t>
  </si>
  <si>
    <t>Муниципальная программа муниципального образования "Гиагинский район" "Развитие физической культуры и спорта"</t>
  </si>
  <si>
    <t>6Г 0 00 00000</t>
  </si>
  <si>
    <t>Субсидии на финансовое обеспечение мероприятий федеральной целевой программы "Развитие физической культуры и спорта в Российской Федерации"</t>
  </si>
  <si>
    <t>6Г 0 Р5 54950</t>
  </si>
  <si>
    <t>Проведение спортивных мероприятий и сборов</t>
  </si>
  <si>
    <t>6Г 0 01 00000</t>
  </si>
  <si>
    <t>Обеспечение деятельности муниципального казенного учреждения "Спортивно-оздоровительный центр" администрации муниципального образования "Гиагинский район"</t>
  </si>
  <si>
    <t>6Г 0 02 00000</t>
  </si>
  <si>
    <t>6Г 0 02 00500</t>
  </si>
  <si>
    <t xml:space="preserve">Муниципальная программа муниципального образования "Гиагинский район"  "Развитие сельского хозяйства на территории муниципального образования "Гиагинский район" </t>
  </si>
  <si>
    <t>6Д 0 00 00000</t>
  </si>
  <si>
    <t>Реализация мероприятий по ликвидации несанкционированной свалки отходов производства и потребления</t>
  </si>
  <si>
    <t>6Д 0 05 00000</t>
  </si>
  <si>
    <t>Подпрограмма  "Развитие сельского хозяйства"</t>
  </si>
  <si>
    <t>6Д 1 00 00000</t>
  </si>
  <si>
    <t>Проведение ежегодных мероприятий, связанных с подведением итогов работы предприятий АПК, КФХ</t>
  </si>
  <si>
    <t>6Д 1 01 00000</t>
  </si>
  <si>
    <t>Подпрограмма "Комплексное развитие сельских территорий"</t>
  </si>
  <si>
    <t>6Д 2 00 00000</t>
  </si>
  <si>
    <t>Субсидии на создание и развитие инфраструктуры на сельских территориях</t>
  </si>
  <si>
    <t>6Д 2 01 00001</t>
  </si>
  <si>
    <t>Субсидии на улучшение качества благоустройства сельских территорий</t>
  </si>
  <si>
    <t>6Д 2 02 00001</t>
  </si>
  <si>
    <t>Улучшение жилищных условий граждан, проживающих на сельских территориях</t>
  </si>
  <si>
    <t>6Д 2 03 00000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</si>
  <si>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</si>
  <si>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6Д 2 03 L5761</t>
  </si>
  <si>
    <t xml:space="preserve">Обеспечение комплексного развития сельских территорий </t>
  </si>
  <si>
    <t xml:space="preserve">6Д 2 04 00000 </t>
  </si>
  <si>
    <t>Обеспечение комплексного развития сельских территорий за счет средств бюджета МО «Гиагинский район»</t>
  </si>
  <si>
    <t xml:space="preserve">6Д 2 04 00100 </t>
  </si>
  <si>
    <t>Обеспечение комплексного развития сельских территорий (современный облик сельских территорий)</t>
  </si>
  <si>
    <t>6Д 2 04 L576F</t>
  </si>
  <si>
    <t>Реализация мероприятий по рекультивации земельных участков после накопления твердых коммунальных отходов</t>
  </si>
  <si>
    <t>6Д 2 05 00000</t>
  </si>
  <si>
    <t>Муниципальная программа муниципального образования "Гиагинский район" "Развитие обеспечения информирования граждан о деятельности муниципальных органов муниципального образования "Гиагинский район"</t>
  </si>
  <si>
    <t>6Е 0 00 00000</t>
  </si>
  <si>
    <t>Создание редакционной группы</t>
  </si>
  <si>
    <t>6Е 0 01 00000</t>
  </si>
  <si>
    <t>Ведение информационных ресурсов и баз данных (интернет-сайт)</t>
  </si>
  <si>
    <t>6Е 0 02 00000</t>
  </si>
  <si>
    <t>Муниципальная программа муниципального образования "Гиагинский район" "Защита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</si>
  <si>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6И 0 00 00000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</si>
  <si>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</si>
  <si>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6И 1 00 00000</t>
  </si>
  <si>
    <t>Реализация  мероприятий по профилактике терроризма и экстремизма</t>
  </si>
  <si>
    <t>6И 1 01 00000</t>
  </si>
  <si>
    <t>Подпрограмма "Защита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</si>
  <si>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6И 2 00 00000</t>
  </si>
  <si>
    <t>Реализация  мероприятий по защите населения и территории от чрезвычайных ситуаций природного и техногенного характера</t>
  </si>
  <si>
    <t>6И 2 01 00000</t>
  </si>
  <si>
    <t>Подпрограмма "Обеспечение деятельности МКУ ЕДДС муниципального образования "Гиагинский район"</t>
  </si>
  <si>
    <t>6И 3 00 00000</t>
  </si>
  <si>
    <t>Обеспечение деятельности Единой дежурно-диспетчерской службы</t>
  </si>
  <si>
    <t>6И 3 01 00000</t>
  </si>
  <si>
    <t>Обеспечение деятельности работников подведомственных муниципальных казенных учреждений</t>
  </si>
  <si>
    <t>6И 3 01 00500</t>
  </si>
  <si>
    <t>Муниципальная программа муниципального образования "Гиагинский район" "Комплексное развитие сельских территорий"</t>
  </si>
  <si>
    <t>6К 0 00 00000</t>
  </si>
  <si>
    <t>Мероприятие по созданию и развитию инфраструктуры на сельских территориях</t>
  </si>
  <si>
    <t>6К 0 01 00000</t>
  </si>
  <si>
    <t>Мероприятие по улучшению жилищных условий граждан, проживающих на сельских территориях</t>
  </si>
  <si>
    <t>6К 0 02 00000</t>
  </si>
  <si>
    <t>Обеспечение комплексного развития сельских территорий (улучшение жилищных условий граждан, проживающих в сельских территориях)</t>
  </si>
  <si>
    <t>6К 0 02 L5761</t>
  </si>
  <si>
    <t>Развитие инфраструктуры сельских территорий муниципального образования "Гиагинский район"</t>
  </si>
  <si>
    <t>6К 0 03 00010</t>
  </si>
  <si>
    <t>Субсидии местным бюджетам на развитие транспортной инфраструктуры в сельской местности</t>
  </si>
  <si>
    <t>6К 0 03 L3720</t>
  </si>
  <si>
    <t xml:space="preserve">Межбюджетные  трансферты </t>
  </si>
  <si>
    <t>6К 0 04 00000</t>
  </si>
  <si>
    <t>Муниципальная программа муниципального образования "Гиагинский район" "Обеспечение безопасности дорожного движения"</t>
  </si>
  <si>
    <t>6Л 0 00 00000</t>
  </si>
  <si>
    <t>Агитационно-профилактическая работа, профилактика детского дорожно-транспортного травматизма</t>
  </si>
  <si>
    <t>6Л 0 01 00000</t>
  </si>
  <si>
    <t xml:space="preserve">Муниципальная программа муниципального образования "Гиагинский район"  "Доступная среда" </t>
  </si>
  <si>
    <t>6П 0 00 00000</t>
  </si>
  <si>
    <t>Обеспечение доступности объектов социальной направленности  для инвалидов и других маломобильных групп населения</t>
  </si>
  <si>
    <t>6П 0 01 00000</t>
  </si>
  <si>
    <t>Проведение благотворительных марафонов</t>
  </si>
  <si>
    <t>6П 0 04 00000</t>
  </si>
  <si>
    <t>Мероприятия по информационной поддержке, оказание консультационных и других услуг СОНКО</t>
  </si>
  <si>
    <t>6П 0 05 00000</t>
  </si>
  <si>
    <t>Создание в муниципальных общеобразовательных организациях условий для инклюзивного обучения детей-инвалидов</t>
  </si>
  <si>
    <t>6П 0 06 00000</t>
  </si>
  <si>
    <t>Мероприятия в сфере реабилитации и абилитации инвалидов</t>
  </si>
  <si>
    <t>6П 0 07 00000</t>
  </si>
  <si>
    <t xml:space="preserve">Мероприятия в сфере реабилитации и абилитации инвалидов, за счет средств республиканского бюджета Республики Адыгея </t>
  </si>
  <si>
    <t>6П 0 07 L5140</t>
  </si>
  <si>
    <t>Муниципальная программа муниципального образования "Гиагинский район" "Социальная помощь вдовам ветеранов Великой Отечественной войны 1941-1945 годов и гражданам, участвующим в специальной операции, и (или) членам их семей"</t>
  </si>
  <si>
    <t>6С 0 00 00000</t>
  </si>
  <si>
    <t>Проведение ремонта в жилых домах ветеранов ВОВ</t>
  </si>
  <si>
    <t>6С 0 01 00000</t>
  </si>
  <si>
    <t>Предоставление социальной помощи гражданам, участвующим в специальной военной операции и (или) членам их семей</t>
  </si>
  <si>
    <t>6С 0 02 00000</t>
  </si>
  <si>
    <t xml:space="preserve">Муниципальная программа муниципального образования "Гиагинский район"  "Укрепление общественного здоровья среди населения муниципального образования "Гиагинский район" </t>
  </si>
  <si>
    <t>6Т 0 00 00000</t>
  </si>
  <si>
    <t>Проведение профилактических мероприятий в соответствии с порядком Минздрава РФ (мед.осмотры, мед.профилактика, диспанциризация)</t>
  </si>
  <si>
    <t>6Т 0 01 00000</t>
  </si>
  <si>
    <t>Муниципальная программа муниципального образования "Гиагинский район" Улучшение демографической ситуации на территории муниципального образования ""Гиагинский район"</t>
  </si>
  <si>
    <t>6У 0 00 00000</t>
  </si>
  <si>
    <t>Мероприятия по укреплению института семьи и повышению статуса семьи в обществе</t>
  </si>
  <si>
    <t>6У 0 01 00000</t>
  </si>
  <si>
    <t>Пропаганда здорового и активного образа жизни</t>
  </si>
  <si>
    <t>6У 0 02 00000</t>
  </si>
  <si>
    <t>Повышение материнства, отцовства и детства</t>
  </si>
  <si>
    <t>6У 0 03 00000</t>
  </si>
  <si>
    <t>Муниципальная программа муниципального образования "Гиагинский район" "Обеспечение доступным и комфортным жильем и коммунальными услугами"</t>
  </si>
  <si>
    <t>6Ф 0 00 00000</t>
  </si>
  <si>
    <t>Подпрограмма "Обеспечением жильем молодых семей"</t>
  </si>
  <si>
    <t>6Ф 1 00 00000</t>
  </si>
  <si>
    <t>Организация работы по предоставлению молодым семьям социальных выплат на приобретение жилого помещения или строительство индивидуального жилого дома</t>
  </si>
  <si>
    <t>6Ф 1 01 00000</t>
  </si>
  <si>
    <t>Реализация мероприятий на предоставление молодым семьям дополнительной социальной выплаты при рождении (усыновлении) первого ребенка</t>
  </si>
  <si>
    <t>6Ф 1 01 60540</t>
  </si>
  <si>
    <t>Реализация мероприятий на предоставление молодым семьям социальных выплат на приобретение жилого помещения или строительства индивидуального жилого дома</t>
  </si>
  <si>
    <t>6Ф 1 01 L4970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</si>
  <si>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</si>
  <si>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6Ф 3 00 00000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</si>
  <si>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</si>
  <si>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6Ф 3 01 00000</t>
  </si>
  <si>
    <t>Реализация мероприятий на 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</si>
  <si>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6Ф 3 01 R0820</t>
  </si>
  <si>
    <t>Подпрограмма "Капитальный ремонт многоквартирных домов в муниципальном образовании "Гиагинский район"</t>
  </si>
  <si>
    <t>6Ф 4 00 00000</t>
  </si>
  <si>
    <t>Субсидии на возмещение части затрат по капитальному ремонту многоквартирных домов некоммерческим организациям</t>
  </si>
  <si>
    <t>6Ф 4 01 00000</t>
  </si>
  <si>
    <t xml:space="preserve">Муниципальная программа  муниципального образования "Гиагинский район" "Развитие информатизации" </t>
  </si>
  <si>
    <t>6Ц 0 00 00000</t>
  </si>
  <si>
    <t>Формирование современной информатизационной и телекоммуникационной инфраструктуры и обеспечение ее надежного функционирования</t>
  </si>
  <si>
    <t>6Ц 0 01 00000</t>
  </si>
  <si>
    <t>Муниципальная программа муниципального образования "Гиагинский район" "Переселение граждан из аварийного жилищного фонда"</t>
  </si>
  <si>
    <t>6Ч 0 00 00000</t>
  </si>
  <si>
    <t>Мероприятия по переселению граждан из аварийного жилищного фонда</t>
  </si>
  <si>
    <t>6Ч 0 F3 00000</t>
  </si>
  <si>
    <t>Реализация мероприятий по предоставлению дополнительных мер поддержки, направленных на предоставление гражданам - собственникам помещений в аварийном жилищном фонде субсидии на приобретение жилых помещений</t>
  </si>
  <si>
    <t>6Ч 0 F3 60350</t>
  </si>
  <si>
    <t>Реализация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</si>
  <si>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6Ч 0 F3 67483</t>
  </si>
  <si>
    <t>Мероприятия по переселению граждан из аварийного жилищного фонда за счет средств бюджета муниципального образования "Гиагинский район"</t>
  </si>
  <si>
    <t>6Ч 0 F3 6748S</t>
  </si>
  <si>
    <t>Муниципальная  программа  муниципального обраования "Гиагинский район" "Управление муниципальным имуществом и земельными ресурсами муниципального образования "Гиагинский район"</t>
  </si>
  <si>
    <t>6Я 0 00 00000</t>
  </si>
  <si>
    <t>Реализация мероприятий на осуществление муниципальной программы муниципального образования  "Гиагинский район" "Управление муниципальным имуществом и земельными ресурсами муниципального образования  "Гиагинский район"</t>
  </si>
  <si>
    <t>6Я 0 01 00000</t>
  </si>
  <si>
    <t xml:space="preserve">Эффективное управление, распоряжение имуществом, находящегося в муниципальной собственности муниципального образования "Гиагинский район" </t>
  </si>
  <si>
    <t>6Я 0 01 00100</t>
  </si>
  <si>
    <t>Совершенствование системы учета и содержание объектов собственности муниципального образования "Гиагинский район", совершенствование механизма управления и распоряжения объектов недвижимости, обеспечение полноты и достоверности учета муниципального имущества</t>
  </si>
  <si>
    <t>6Я 0 01 00200</t>
  </si>
  <si>
    <t>Разграничение государственной собственности на землю</t>
  </si>
  <si>
    <t>6Я 0 01 00300</t>
  </si>
  <si>
    <t>Обеспечение сохранности имущества, приведение его в нормативное состояние и соответствие установленным санитарным и техническим правилам и нормам, иным требованиям законодательства</t>
  </si>
  <si>
    <t>6Я 0 01 00400</t>
  </si>
  <si>
    <t>Руководство и управление в сфере установленных функций</t>
  </si>
  <si>
    <t>71 0 00 00000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</si>
  <si>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</si>
  <si>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71 0 00 51200</t>
  </si>
  <si>
    <t>За достижение показателей деятельности органов местного самоуправления</t>
  </si>
  <si>
    <t>71 0 00 55490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</si>
  <si>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 (за счет средств бюджета муниципального образования "Гиагинский район")</t>
  </si>
  <si>
    <t>71 0 00 01020</t>
  </si>
  <si>
    <t>Осуществление отдельных государственных полномочий Республики Адыгея по опеке и попечительству в отношении отдельных категорий совершеннолетних лиц (за счет средств бюджета муниципального образования "Гиагинский район")</t>
  </si>
  <si>
    <t>71 0 00 01040</t>
  </si>
  <si>
    <t>Предоставление ежемесячного вознаграждения и ежемесячного дополнительного вознаграждения приемным родителям</t>
  </si>
  <si>
    <t>71 0 00 60120</t>
  </si>
  <si>
    <t>Социальная поддержка и социальное обслуживание детей-сирот, детей, оставшихся без попечения родителей (ежемесячные выплаты денежных средств на содержание детей, оставшихся без попечения родителей)</t>
  </si>
  <si>
    <t>71 0 00 60130</t>
  </si>
  <si>
    <t>Социальная поддержка и социальное обслуживание детей-сирот, детей, оставшихся без попечения родителей (возмещение транспортных расходов)</t>
  </si>
  <si>
    <t>71 0 00 60140</t>
  </si>
  <si>
    <t>Предоставление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</si>
  <si>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71 0 00 60150</t>
  </si>
  <si>
    <t>Реализация мероприятий по благоустройству административных центров муниципальных районов и городских округов с численностью населения до 150 тысяч человек</t>
  </si>
  <si>
    <t>71 0 00 60440</t>
  </si>
  <si>
    <t>Осуществление государственных полномочий Республики Адыгея в сфере административных правонарушений</t>
  </si>
  <si>
    <t>71 0 00 61100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</si>
  <si>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</si>
  <si>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</si>
  <si>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71 0 00 61300</t>
  </si>
  <si>
    <t>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</si>
  <si>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Осуществление государственных полномочий Республики Адыгея по формированию, организации деятельности административных комиссий и составлению протоколов об административных правонарушениях</t>
  </si>
  <si>
    <t>71 0 00 61500</t>
  </si>
  <si>
    <t>Организация мероприятий при осуществлении деятельности по обращению с животными без владельцев</t>
  </si>
  <si>
    <t>71 0 00 62700</t>
  </si>
  <si>
    <t>Субсидии местным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(проведение восстановительных работ)</t>
  </si>
  <si>
    <t>71 0 00 L2991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</si>
  <si>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2019 - 2024"</t>
  </si>
  <si>
    <t>71 0 00 L2993</t>
  </si>
  <si>
    <t>71 0 00 L3720</t>
  </si>
  <si>
    <t>Осуществление государственных полномочий Российской Федерации поподготовке и проведению Всероссийской перепеси населения, переданных для их осуществления исполнительным органам государственной власти Республики Адыгея</t>
  </si>
  <si>
    <t>71 0 00 54690</t>
  </si>
  <si>
    <t>Мероприятия в рамках регионального проекта "Формирование комфортной городской среды"</t>
  </si>
  <si>
    <t>71 0 F2 00000</t>
  </si>
  <si>
    <t>Реализация мероприятий по формированию современной городской среды</t>
  </si>
  <si>
    <t>71 0 F2 55550</t>
  </si>
  <si>
    <t>Мероприятия в рамках регионального проекта "Чистая вода"</t>
  </si>
  <si>
    <t>71 0 F5 00000</t>
  </si>
  <si>
    <t>Субсидии местным бюджетам на строительство и реконструкцию (модернизацию) объектов питьевого водоснабжения</t>
  </si>
  <si>
    <t>71 0 F5 52430</t>
  </si>
  <si>
    <t>Функционирование высшего должностного лица муниципального образования</t>
  </si>
  <si>
    <t>71 1 00 00000</t>
  </si>
  <si>
    <t>Глава муниципального образования</t>
  </si>
  <si>
    <t>71 1 00 00100</t>
  </si>
  <si>
    <t>Обеспечение деятельности представительного органа муниципального образования "Гиагинский район"</t>
  </si>
  <si>
    <t>71 2 00 00000</t>
  </si>
  <si>
    <t>Председатель представительного органа муниципального образования</t>
  </si>
  <si>
    <t>71 2 00 00100</t>
  </si>
  <si>
    <t>Обеспечение функций органами местного самоуправления</t>
  </si>
  <si>
    <t>71 2 00 00400</t>
  </si>
  <si>
    <t>Обеспечение деятельности контрольного (контрольно-счетного) органа</t>
  </si>
  <si>
    <t>71 4 00 00000</t>
  </si>
  <si>
    <t>Руководитель контрольного (контрольно - счетного) органа и его заместитель</t>
  </si>
  <si>
    <t>71 4 00 00100</t>
  </si>
  <si>
    <t>71 4 00 00400</t>
  </si>
  <si>
    <t>Обеспечение функций государственных органов (переданные полномочия сельских поселений на содержание специалиста)</t>
  </si>
  <si>
    <t>71 4 00 00410</t>
  </si>
  <si>
    <t>Проведение выборов и референдумов</t>
  </si>
  <si>
    <t>71 5 00 00000</t>
  </si>
  <si>
    <t>Проведение выборов главы муниципального образования</t>
  </si>
  <si>
    <t>71 5 00 00700</t>
  </si>
  <si>
    <t>Проведение выборов депутатов представительного органа муниципального образования</t>
  </si>
  <si>
    <t>71 5 00 00800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</si>
  <si>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</si>
  <si>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71 5 00 00900</t>
  </si>
  <si>
    <t>Реализация функций органов местного самоуправления</t>
  </si>
  <si>
    <t>71 6 00 00000</t>
  </si>
  <si>
    <t>71 6 00 00400</t>
  </si>
  <si>
    <t>Обеспечение деяльности муниципального казенного учреждения "Хозяйственно-эксплуатационная служба" муниципального образования "Гиагинский район"</t>
  </si>
  <si>
    <t>71 7 00 00000</t>
  </si>
  <si>
    <t>71 7 00 00500</t>
  </si>
  <si>
    <t>Капитальные вложения в объекты государственной (муниципальной) собственности</t>
  </si>
  <si>
    <t>Реализация иных мероприятий в рамках непрограммных расходов муниципального образования "Гиагинский район"</t>
  </si>
  <si>
    <t>72 0 00 00000</t>
  </si>
  <si>
    <t>Резервные фонды местных администраций</t>
  </si>
  <si>
    <t>72 0 01 00000</t>
  </si>
  <si>
    <t>Выплата единовременного поощрения в связи с выходом на муниципальную пенсию за выслугу лет</t>
  </si>
  <si>
    <t>72 0 02 00000</t>
  </si>
  <si>
    <t xml:space="preserve">Доплаты к пенсиям муниципальных служащих </t>
  </si>
  <si>
    <t>72 0 03 00000</t>
  </si>
  <si>
    <t>Поддержка издательств и периодических средств массовой информации</t>
  </si>
  <si>
    <t>72 0 04 00000</t>
  </si>
  <si>
    <t>Мероприятия в области строительства, архитектуры и градостроительства</t>
  </si>
  <si>
    <t>72 0 05 00000</t>
  </si>
  <si>
    <t>Составление проектно-сметной документации в области строительства, архитектуры и градостроительства</t>
  </si>
  <si>
    <t>72 0 05 00010</t>
  </si>
  <si>
    <t>Мероприятия на обеспечение ликвидации и рекультивации несанкционированных и санкционированных свалок</t>
  </si>
  <si>
    <t>72 0 05 61130</t>
  </si>
  <si>
    <t>Субсидии на оказание услуг по транспортному обслуживанию населения</t>
  </si>
  <si>
    <t>72 0 06 00000</t>
  </si>
  <si>
    <t>Возмещение части затрат по транспортному обслуживанию населения в границах поселения</t>
  </si>
  <si>
    <t>72 0 06 00010</t>
  </si>
  <si>
    <t>Возмещение части затрат по транспортному обслуживанию населения между поселениями в границах муниципального района</t>
  </si>
  <si>
    <t>72 0 06 00020</t>
  </si>
  <si>
    <t xml:space="preserve">Осуществление подготовки и проведение мероприятий, связанных с призывом на военную службу </t>
  </si>
  <si>
    <t>72 0 07 00000</t>
  </si>
  <si>
    <t xml:space="preserve">Содержание объектов специального назначения </t>
  </si>
  <si>
    <t>72 0 08 00000</t>
  </si>
  <si>
    <t>Содержание объектов специального назначения за счет средств бюджета МО Гиагинский район"</t>
  </si>
  <si>
    <t>72 0 08 00310</t>
  </si>
  <si>
    <t>Выполнение других обязательств муниципального образования "Гиагинский район"</t>
  </si>
  <si>
    <t>72 0 12 00000</t>
  </si>
  <si>
    <t>Резервные средства на реализацию  отдельных мероприятий и оплату социально значимых затрат</t>
  </si>
  <si>
    <t>72 0 13 00000</t>
  </si>
  <si>
    <t>Субсидии на мероприятия по совершенствованию системы организации дорожного движения</t>
  </si>
  <si>
    <t>72 0 17 00000</t>
  </si>
  <si>
    <t>Субсидии бюджетам сельских поселений на мероприятия по совершенствованию системы организации дорожного движения</t>
  </si>
  <si>
    <t>72 0 17 60360</t>
  </si>
  <si>
    <t>ВСЕГО РАСХОДОВ</t>
  </si>
  <si>
    <t>Управляющая делами Совета народных депутатов муниципального образования "Гиагинский район"</t>
  </si>
  <si>
    <t>М.А.Бондаренко</t>
  </si>
  <si>
    <t>71 0 00 61200</t>
  </si>
  <si>
    <t>71 0 00 61400</t>
  </si>
  <si>
    <t>71 0 00 01030</t>
  </si>
  <si>
    <t>Осуществление отдельных государственных полномочий Республики Адыгея по опеке и попечительству в отношении несовершеннолетних лиц (за счет средств бюджета муниципального образования "Гиагинский район")</t>
  </si>
  <si>
    <t xml:space="preserve">Приложение № 5       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муниципального образования "Гиагинский район"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" 24 " декабря 2024 г. № 213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</si>
</sst>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.00_ "/>
    <numFmt numFmtId="165" formatCode="0.00000_ "/>
    <numFmt numFmtId="166" formatCode="0.0"/>
    <numFmt numFmtId="167" formatCode="#\ ##0.0"/>
    <numFmt numFmtId="168" formatCode="0.00000"/>
  </numFmts>
  <fonts count="8">
    <font>
      <sz val="10"/>
      <color rgb="FF000000"/>
      <name val="Times New Roman"/>
      <charset val="13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top" wrapText="1"/>
    </xf>
  </cellStyleXfs>
  <cellXfs count="54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164" fontId="1" fillId="2" borderId="0" xfId="0" applyNumberFormat="1" applyFont="1" applyFill="1" applyAlignment="1">
      <alignment vertical="top"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top" wrapText="1"/>
    </xf>
    <xf numFmtId="164" fontId="3" fillId="2" borderId="0" xfId="0" applyNumberFormat="1" applyFont="1" applyFill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166" fontId="2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top" wrapText="1"/>
    </xf>
    <xf numFmtId="166" fontId="3" fillId="2" borderId="1" xfId="0" applyNumberFormat="1" applyFont="1" applyFill="1" applyBorder="1" applyAlignment="1">
      <alignment horizontal="right" vertical="center" wrapText="1"/>
    </xf>
    <xf numFmtId="167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top" wrapText="1"/>
    </xf>
    <xf numFmtId="166" fontId="3" fillId="2" borderId="1" xfId="0" applyNumberFormat="1" applyFont="1" applyFill="1" applyBorder="1" applyAlignment="1">
      <alignment vertical="top" wrapText="1"/>
    </xf>
    <xf numFmtId="167" fontId="3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left" vertical="center" wrapText="1"/>
    </xf>
    <xf numFmtId="166" fontId="1" fillId="2" borderId="0" xfId="0" applyNumberFormat="1" applyFont="1" applyFill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167" fontId="2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168" fontId="1" fillId="2" borderId="0" xfId="0" applyNumberFormat="1" applyFont="1" applyFill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center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164" fontId="6" fillId="0" borderId="0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165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wrapText="1"/>
    </xf>
    <xf numFmtId="164" fontId="1" fillId="2" borderId="0" xfId="0" applyNumberFormat="1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164" fontId="2" fillId="2" borderId="0" xfId="0" applyNumberFormat="1" applyFont="1" applyFill="1" applyAlignment="1">
      <alignment horizont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164" fontId="3" fillId="2" borderId="0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33"/>
      <color rgb="FF99FF66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/e/e/e/&#1059;&#1058;&#1054;&#1063;&#1053;&#1045;&#1053;&#1048;&#1045;%202018/&#1086;&#1082;&#1090;&#1103;&#1073;&#1088;&#1100;/&#1055;&#1088;&#1080;&#1083;&#1086;&#1078;&#1077;&#1085;&#1080;&#1077;%206%20(&#1042;&#1057;&#1056;)%20-2018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</sheetNames>
    <sheetDataSet>
      <sheetData sheetId="0">
        <row r="105">
          <cell r="G105" t="str">
            <v>600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7"/>
  <sheetViews>
    <sheetView tabSelected="1" view="pageBreakPreview" zoomScale="90" zoomScaleNormal="80" workbookViewId="0">
      <selection activeCell="C1" sqref="C1:G1"/>
    </sheetView>
  </sheetViews>
  <sheetFormatPr defaultColWidth="9.33203125" defaultRowHeight="15.75"/>
  <cols>
    <col min="1" max="1" width="6.1640625" style="1" customWidth="1"/>
    <col min="2" max="2" width="106.6640625" style="1" customWidth="1"/>
    <col min="3" max="3" width="21.83203125" style="1" customWidth="1"/>
    <col min="4" max="4" width="9.83203125" style="1" customWidth="1"/>
    <col min="5" max="6" width="14.1640625" style="1" hidden="1" customWidth="1"/>
    <col min="7" max="7" width="30.1640625" style="2" customWidth="1"/>
    <col min="8" max="8" width="14.1640625" style="1" hidden="1" customWidth="1"/>
    <col min="9" max="9" width="16.5" style="1" hidden="1" customWidth="1"/>
    <col min="10" max="10" width="4" style="1" hidden="1" customWidth="1"/>
    <col min="11" max="13" width="9.33203125" style="1"/>
    <col min="14" max="14" width="19.6640625" style="1" customWidth="1"/>
    <col min="15" max="15" width="20" style="1" customWidth="1"/>
    <col min="16" max="16384" width="9.33203125" style="1"/>
  </cols>
  <sheetData>
    <row r="1" spans="1:11" ht="63.75" customHeight="1">
      <c r="C1" s="45" t="s">
        <v>582</v>
      </c>
      <c r="D1" s="45"/>
      <c r="E1" s="45"/>
      <c r="F1" s="45"/>
      <c r="G1" s="46"/>
    </row>
    <row r="2" spans="1:11" ht="81.75" customHeight="1">
      <c r="C2" s="47" t="s">
        <v>0</v>
      </c>
      <c r="D2" s="47"/>
      <c r="E2" s="47"/>
      <c r="F2" s="47"/>
      <c r="G2" s="48"/>
      <c r="H2" s="3"/>
      <c r="I2" s="3"/>
      <c r="J2" s="3"/>
      <c r="K2" s="3"/>
    </row>
    <row r="3" spans="1:11" ht="88.5" customHeight="1">
      <c r="A3" s="49" t="s">
        <v>1</v>
      </c>
      <c r="B3" s="49"/>
      <c r="C3" s="49"/>
      <c r="D3" s="49"/>
      <c r="E3" s="49"/>
      <c r="F3" s="49"/>
      <c r="G3" s="50"/>
      <c r="H3" s="49"/>
      <c r="I3" s="49"/>
      <c r="J3" s="49"/>
    </row>
    <row r="4" spans="1:11" ht="1.5" hidden="1" customHeight="1">
      <c r="A4" s="4"/>
      <c r="B4" s="51"/>
      <c r="C4" s="51"/>
      <c r="D4" s="51"/>
      <c r="E4" s="5"/>
      <c r="F4" s="5"/>
      <c r="G4" s="6"/>
      <c r="H4" s="5"/>
      <c r="I4" s="5"/>
      <c r="J4" s="5"/>
    </row>
    <row r="5" spans="1:11" ht="16.5" customHeight="1">
      <c r="A5" s="52" t="s">
        <v>2</v>
      </c>
      <c r="B5" s="52"/>
      <c r="C5" s="52"/>
      <c r="D5" s="52"/>
      <c r="E5" s="52"/>
      <c r="F5" s="52"/>
      <c r="G5" s="53"/>
      <c r="H5" s="52"/>
      <c r="I5" s="52"/>
      <c r="J5" s="52"/>
    </row>
    <row r="6" spans="1:11" ht="64.5" customHeight="1">
      <c r="A6" s="7" t="s">
        <v>3</v>
      </c>
      <c r="B6" s="8" t="s">
        <v>4</v>
      </c>
      <c r="C6" s="8" t="s">
        <v>5</v>
      </c>
      <c r="D6" s="8" t="s">
        <v>6</v>
      </c>
      <c r="E6" s="9" t="s">
        <v>7</v>
      </c>
      <c r="F6" s="8" t="s">
        <v>8</v>
      </c>
      <c r="G6" s="10" t="s">
        <v>9</v>
      </c>
      <c r="H6" s="8" t="s">
        <v>10</v>
      </c>
      <c r="I6" s="8" t="s">
        <v>11</v>
      </c>
      <c r="J6" s="8" t="s">
        <v>12</v>
      </c>
    </row>
    <row r="7" spans="1:11" ht="37.5">
      <c r="A7" s="11">
        <v>1</v>
      </c>
      <c r="B7" s="12" t="s">
        <v>13</v>
      </c>
      <c r="C7" s="13" t="s">
        <v>14</v>
      </c>
      <c r="D7" s="14" t="s">
        <v>15</v>
      </c>
      <c r="E7" s="15">
        <f>E8+E33+E96+E124</f>
        <v>163414.39999999999</v>
      </c>
      <c r="F7" s="15">
        <f>F8+F33+F96+F124</f>
        <v>246900.20000000004</v>
      </c>
      <c r="G7" s="15">
        <f>G8+G33+G96+G124</f>
        <v>702183.97274999996</v>
      </c>
      <c r="H7" s="15">
        <f>H8+H33+H96+H124</f>
        <v>431500.48283999995</v>
      </c>
      <c r="I7" s="15">
        <f t="shared" ref="I7:I23" si="0">H7-G7</f>
        <v>-270683.48991</v>
      </c>
      <c r="J7" s="15">
        <f t="shared" ref="J7:J23" si="1">H7/G7*100</f>
        <v>61.451200765818101</v>
      </c>
    </row>
    <row r="8" spans="1:11" ht="18.75">
      <c r="A8" s="7"/>
      <c r="B8" s="16" t="s">
        <v>16</v>
      </c>
      <c r="C8" s="17" t="s">
        <v>17</v>
      </c>
      <c r="D8" s="7"/>
      <c r="E8" s="18">
        <f>E9+E11+E21+E28</f>
        <v>51458.700000000004</v>
      </c>
      <c r="F8" s="18">
        <f t="shared" ref="F8" si="2">F9+F11+F21+F28</f>
        <v>71627.3</v>
      </c>
      <c r="G8" s="19">
        <f t="shared" ref="G8" si="3">G9+G11+G21+G28</f>
        <v>224441.18246999997</v>
      </c>
      <c r="H8" s="18">
        <f t="shared" ref="H8" si="4">H9+H11+H21+H28</f>
        <v>136670.05611999999</v>
      </c>
      <c r="I8" s="21">
        <f t="shared" si="0"/>
        <v>-87771.126349999977</v>
      </c>
      <c r="J8" s="21">
        <f t="shared" si="1"/>
        <v>60.893484259854155</v>
      </c>
    </row>
    <row r="9" spans="1:11" ht="37.5">
      <c r="A9" s="7"/>
      <c r="B9" s="16" t="s">
        <v>18</v>
      </c>
      <c r="C9" s="17" t="s">
        <v>19</v>
      </c>
      <c r="D9" s="20"/>
      <c r="E9" s="21">
        <f>E10</f>
        <v>1788.3</v>
      </c>
      <c r="F9" s="21">
        <f t="shared" ref="F9:H9" si="5">F10</f>
        <v>0</v>
      </c>
      <c r="G9" s="22">
        <f t="shared" si="5"/>
        <v>1346.07</v>
      </c>
      <c r="H9" s="21">
        <f t="shared" si="5"/>
        <v>1120.6596300000001</v>
      </c>
      <c r="I9" s="21">
        <f t="shared" si="0"/>
        <v>-225.41036999999983</v>
      </c>
      <c r="J9" s="21">
        <f t="shared" si="1"/>
        <v>83.254186632195953</v>
      </c>
    </row>
    <row r="10" spans="1:11" ht="37.5">
      <c r="A10" s="7"/>
      <c r="B10" s="23" t="s">
        <v>20</v>
      </c>
      <c r="C10" s="17" t="s">
        <v>19</v>
      </c>
      <c r="D10" s="20" t="s">
        <v>21</v>
      </c>
      <c r="E10" s="21">
        <v>1788.3</v>
      </c>
      <c r="F10" s="24">
        <v>0</v>
      </c>
      <c r="G10" s="22">
        <v>1346.07</v>
      </c>
      <c r="H10" s="21">
        <v>1120.6596300000001</v>
      </c>
      <c r="I10" s="21">
        <f t="shared" si="0"/>
        <v>-225.41036999999983</v>
      </c>
      <c r="J10" s="21">
        <f t="shared" si="1"/>
        <v>83.254186632195953</v>
      </c>
    </row>
    <row r="11" spans="1:11" ht="18.75">
      <c r="A11" s="7"/>
      <c r="B11" s="16" t="s">
        <v>22</v>
      </c>
      <c r="C11" s="17" t="s">
        <v>23</v>
      </c>
      <c r="D11" s="20"/>
      <c r="E11" s="21">
        <f t="shared" ref="E11:F12" si="6">E12</f>
        <v>450</v>
      </c>
      <c r="F11" s="21">
        <f t="shared" si="6"/>
        <v>0</v>
      </c>
      <c r="G11" s="22">
        <f>G12+G16+G18+G14</f>
        <v>4127.9124700000002</v>
      </c>
      <c r="H11" s="21">
        <f>H12+H16+H18+H14</f>
        <v>419.35</v>
      </c>
      <c r="I11" s="21">
        <f t="shared" si="0"/>
        <v>-3708.5624700000003</v>
      </c>
      <c r="J11" s="21">
        <f t="shared" si="1"/>
        <v>10.158887889403333</v>
      </c>
    </row>
    <row r="12" spans="1:11" ht="56.25">
      <c r="A12" s="7"/>
      <c r="B12" s="16" t="s">
        <v>24</v>
      </c>
      <c r="C12" s="17" t="s">
        <v>25</v>
      </c>
      <c r="D12" s="20"/>
      <c r="E12" s="21">
        <f t="shared" si="6"/>
        <v>450</v>
      </c>
      <c r="F12" s="21">
        <f t="shared" si="6"/>
        <v>0</v>
      </c>
      <c r="G12" s="22">
        <f>G13</f>
        <v>4103.11247</v>
      </c>
      <c r="H12" s="21">
        <f>H13</f>
        <v>282.8</v>
      </c>
      <c r="I12" s="21">
        <f t="shared" si="0"/>
        <v>-3820.3124699999998</v>
      </c>
      <c r="J12" s="21">
        <f t="shared" si="1"/>
        <v>6.8923287398943769</v>
      </c>
    </row>
    <row r="13" spans="1:11" ht="38.25" customHeight="1">
      <c r="A13" s="7"/>
      <c r="B13" s="23" t="s">
        <v>20</v>
      </c>
      <c r="C13" s="17" t="s">
        <v>25</v>
      </c>
      <c r="D13" s="20" t="s">
        <v>21</v>
      </c>
      <c r="E13" s="21">
        <v>450</v>
      </c>
      <c r="F13" s="21"/>
      <c r="G13" s="22">
        <f>3652.46947+450.643</f>
        <v>4103.11247</v>
      </c>
      <c r="H13" s="21">
        <v>282.8</v>
      </c>
      <c r="I13" s="21">
        <f t="shared" si="0"/>
        <v>-3820.3124699999998</v>
      </c>
      <c r="J13" s="21">
        <f t="shared" si="1"/>
        <v>6.8923287398943769</v>
      </c>
    </row>
    <row r="14" spans="1:11" ht="26.25" hidden="1" customHeight="1">
      <c r="A14" s="7"/>
      <c r="B14" s="23" t="s">
        <v>26</v>
      </c>
      <c r="C14" s="17" t="s">
        <v>27</v>
      </c>
      <c r="D14" s="20"/>
      <c r="E14" s="21"/>
      <c r="F14" s="21"/>
      <c r="G14" s="22">
        <f>G15</f>
        <v>0</v>
      </c>
      <c r="H14" s="21">
        <f>H15</f>
        <v>0</v>
      </c>
      <c r="I14" s="21">
        <f t="shared" si="0"/>
        <v>0</v>
      </c>
      <c r="J14" s="21" t="e">
        <f t="shared" si="1"/>
        <v>#DIV/0!</v>
      </c>
    </row>
    <row r="15" spans="1:11" ht="42" hidden="1" customHeight="1">
      <c r="A15" s="7"/>
      <c r="B15" s="23" t="s">
        <v>20</v>
      </c>
      <c r="C15" s="17" t="s">
        <v>27</v>
      </c>
      <c r="D15" s="20" t="s">
        <v>21</v>
      </c>
      <c r="E15" s="21"/>
      <c r="F15" s="21"/>
      <c r="G15" s="22"/>
      <c r="H15" s="21"/>
      <c r="I15" s="21">
        <f t="shared" si="0"/>
        <v>0</v>
      </c>
      <c r="J15" s="21" t="e">
        <f t="shared" si="1"/>
        <v>#DIV/0!</v>
      </c>
    </row>
    <row r="16" spans="1:11" ht="25.5" customHeight="1">
      <c r="A16" s="7"/>
      <c r="B16" s="23" t="s">
        <v>28</v>
      </c>
      <c r="C16" s="17" t="s">
        <v>29</v>
      </c>
      <c r="D16" s="20"/>
      <c r="E16" s="21"/>
      <c r="F16" s="21"/>
      <c r="G16" s="22">
        <f>G17</f>
        <v>16.8</v>
      </c>
      <c r="H16" s="21">
        <f>H17</f>
        <v>129.05000000000001</v>
      </c>
      <c r="I16" s="21">
        <f t="shared" si="0"/>
        <v>112.25000000000001</v>
      </c>
      <c r="J16" s="21">
        <f t="shared" si="1"/>
        <v>768.15476190476193</v>
      </c>
    </row>
    <row r="17" spans="1:10" ht="37.5">
      <c r="A17" s="7"/>
      <c r="B17" s="23" t="s">
        <v>20</v>
      </c>
      <c r="C17" s="17" t="s">
        <v>29</v>
      </c>
      <c r="D17" s="20" t="s">
        <v>21</v>
      </c>
      <c r="E17" s="21"/>
      <c r="F17" s="21"/>
      <c r="G17" s="22">
        <v>16.8</v>
      </c>
      <c r="H17" s="21">
        <v>129.05000000000001</v>
      </c>
      <c r="I17" s="21">
        <f t="shared" si="0"/>
        <v>112.25000000000001</v>
      </c>
      <c r="J17" s="21">
        <f t="shared" si="1"/>
        <v>768.15476190476193</v>
      </c>
    </row>
    <row r="18" spans="1:10" ht="38.25" customHeight="1">
      <c r="A18" s="11"/>
      <c r="B18" s="23" t="s">
        <v>30</v>
      </c>
      <c r="C18" s="17" t="s">
        <v>31</v>
      </c>
      <c r="D18" s="20"/>
      <c r="E18" s="21"/>
      <c r="F18" s="21"/>
      <c r="G18" s="22">
        <f>G20+G19</f>
        <v>8</v>
      </c>
      <c r="H18" s="21">
        <f>H20+H19</f>
        <v>7.5</v>
      </c>
      <c r="I18" s="21">
        <f t="shared" si="0"/>
        <v>-0.5</v>
      </c>
      <c r="J18" s="21">
        <f t="shared" si="1"/>
        <v>93.75</v>
      </c>
    </row>
    <row r="19" spans="1:10" ht="38.25" customHeight="1">
      <c r="A19" s="11"/>
      <c r="B19" s="23" t="s">
        <v>32</v>
      </c>
      <c r="C19" s="17" t="s">
        <v>31</v>
      </c>
      <c r="D19" s="20">
        <v>200</v>
      </c>
      <c r="E19" s="21"/>
      <c r="F19" s="21"/>
      <c r="G19" s="22">
        <v>8</v>
      </c>
      <c r="H19" s="21">
        <v>7.5</v>
      </c>
      <c r="I19" s="21">
        <f t="shared" si="0"/>
        <v>-0.5</v>
      </c>
      <c r="J19" s="21">
        <f t="shared" si="1"/>
        <v>93.75</v>
      </c>
    </row>
    <row r="20" spans="1:10" ht="37.5" hidden="1">
      <c r="A20" s="7"/>
      <c r="B20" s="23" t="s">
        <v>20</v>
      </c>
      <c r="C20" s="17" t="s">
        <v>31</v>
      </c>
      <c r="D20" s="20" t="s">
        <v>21</v>
      </c>
      <c r="E20" s="21"/>
      <c r="F20" s="21"/>
      <c r="G20" s="22"/>
      <c r="H20" s="21"/>
      <c r="I20" s="21">
        <f t="shared" si="0"/>
        <v>0</v>
      </c>
      <c r="J20" s="21" t="e">
        <f t="shared" si="1"/>
        <v>#DIV/0!</v>
      </c>
    </row>
    <row r="21" spans="1:10" ht="25.5" customHeight="1">
      <c r="A21" s="7"/>
      <c r="B21" s="23" t="s">
        <v>33</v>
      </c>
      <c r="C21" s="17" t="s">
        <v>34</v>
      </c>
      <c r="D21" s="20"/>
      <c r="E21" s="21">
        <f>E22+E26+E24</f>
        <v>49220.4</v>
      </c>
      <c r="F21" s="21">
        <f>F22+F26+F24</f>
        <v>69251.5</v>
      </c>
      <c r="G21" s="22">
        <f>G22+G26+G24</f>
        <v>215774.4</v>
      </c>
      <c r="H21" s="21">
        <f>H22+H26+H24</f>
        <v>133098.53201</v>
      </c>
      <c r="I21" s="21">
        <f t="shared" si="0"/>
        <v>-82675.867989999999</v>
      </c>
      <c r="J21" s="21">
        <f t="shared" si="1"/>
        <v>61.684116378031874</v>
      </c>
    </row>
    <row r="22" spans="1:10" ht="37.5">
      <c r="A22" s="7"/>
      <c r="B22" s="23" t="s">
        <v>35</v>
      </c>
      <c r="C22" s="17" t="s">
        <v>36</v>
      </c>
      <c r="D22" s="20"/>
      <c r="E22" s="21">
        <f t="shared" ref="E22:H22" si="7">E23</f>
        <v>48941.7</v>
      </c>
      <c r="F22" s="21">
        <f t="shared" si="7"/>
        <v>0</v>
      </c>
      <c r="G22" s="22">
        <f t="shared" si="7"/>
        <v>78260.899999999994</v>
      </c>
      <c r="H22" s="21">
        <f t="shared" si="7"/>
        <v>50133.235800000002</v>
      </c>
      <c r="I22" s="21">
        <f t="shared" si="0"/>
        <v>-28127.664199999992</v>
      </c>
      <c r="J22" s="21">
        <f t="shared" si="1"/>
        <v>64.059109721457347</v>
      </c>
    </row>
    <row r="23" spans="1:10" ht="37.5">
      <c r="A23" s="7"/>
      <c r="B23" s="23" t="s">
        <v>20</v>
      </c>
      <c r="C23" s="17" t="s">
        <v>36</v>
      </c>
      <c r="D23" s="20">
        <v>600</v>
      </c>
      <c r="E23" s="21">
        <f>54514.9-5294.5-278.7</f>
        <v>48941.7</v>
      </c>
      <c r="F23" s="21"/>
      <c r="G23" s="22">
        <f>76765.4+1495.5</f>
        <v>78260.899999999994</v>
      </c>
      <c r="H23" s="21">
        <v>50133.235800000002</v>
      </c>
      <c r="I23" s="21">
        <f t="shared" si="0"/>
        <v>-28127.664199999992</v>
      </c>
      <c r="J23" s="21">
        <f t="shared" si="1"/>
        <v>64.059109721457347</v>
      </c>
    </row>
    <row r="24" spans="1:10" ht="60.75" customHeight="1">
      <c r="A24" s="7"/>
      <c r="B24" s="23" t="s">
        <v>37</v>
      </c>
      <c r="C24" s="17" t="s">
        <v>38</v>
      </c>
      <c r="D24" s="20" t="s">
        <v>15</v>
      </c>
      <c r="E24" s="21">
        <f t="shared" ref="E24:H24" si="8">E25</f>
        <v>0</v>
      </c>
      <c r="F24" s="21">
        <f t="shared" si="8"/>
        <v>63957</v>
      </c>
      <c r="G24" s="22">
        <f t="shared" si="8"/>
        <v>129538.8</v>
      </c>
      <c r="H24" s="21">
        <f t="shared" si="8"/>
        <v>77926.317999999999</v>
      </c>
      <c r="I24" s="21">
        <f t="shared" ref="I24:I73" si="9">H24-G24</f>
        <v>-51612.482000000004</v>
      </c>
      <c r="J24" s="21">
        <f t="shared" ref="J24:J73" si="10">H24/G24*100</f>
        <v>60.156739139161395</v>
      </c>
    </row>
    <row r="25" spans="1:10" ht="37.5">
      <c r="A25" s="7"/>
      <c r="B25" s="23" t="s">
        <v>20</v>
      </c>
      <c r="C25" s="17" t="s">
        <v>38</v>
      </c>
      <c r="D25" s="20">
        <v>600</v>
      </c>
      <c r="E25" s="21"/>
      <c r="F25" s="21">
        <v>63957</v>
      </c>
      <c r="G25" s="22">
        <f>121001+3137.8+5400</f>
        <v>129538.8</v>
      </c>
      <c r="H25" s="21">
        <v>77926.317999999999</v>
      </c>
      <c r="I25" s="21">
        <f t="shared" si="9"/>
        <v>-51612.482000000004</v>
      </c>
      <c r="J25" s="21">
        <f t="shared" si="10"/>
        <v>60.156739139161395</v>
      </c>
    </row>
    <row r="26" spans="1:10" ht="37.5">
      <c r="A26" s="7"/>
      <c r="B26" s="23" t="s">
        <v>39</v>
      </c>
      <c r="C26" s="17" t="s">
        <v>40</v>
      </c>
      <c r="D26" s="20"/>
      <c r="E26" s="21">
        <f t="shared" ref="E26:H26" si="11">E27</f>
        <v>278.7</v>
      </c>
      <c r="F26" s="21">
        <f t="shared" si="11"/>
        <v>5294.5</v>
      </c>
      <c r="G26" s="22">
        <f t="shared" si="11"/>
        <v>7974.7</v>
      </c>
      <c r="H26" s="21">
        <f t="shared" si="11"/>
        <v>5038.9782100000002</v>
      </c>
      <c r="I26" s="21">
        <f t="shared" si="9"/>
        <v>-2935.7217899999996</v>
      </c>
      <c r="J26" s="21">
        <f t="shared" si="10"/>
        <v>63.187056691787781</v>
      </c>
    </row>
    <row r="27" spans="1:10" ht="37.5">
      <c r="A27" s="7"/>
      <c r="B27" s="23" t="s">
        <v>20</v>
      </c>
      <c r="C27" s="17" t="s">
        <v>40</v>
      </c>
      <c r="D27" s="20">
        <v>600</v>
      </c>
      <c r="E27" s="21">
        <v>278.7</v>
      </c>
      <c r="F27" s="21">
        <v>5294.5</v>
      </c>
      <c r="G27" s="22">
        <f>7576+398.7</f>
        <v>7974.7</v>
      </c>
      <c r="H27" s="21">
        <v>5038.9782100000002</v>
      </c>
      <c r="I27" s="21">
        <f t="shared" si="9"/>
        <v>-2935.7217899999996</v>
      </c>
      <c r="J27" s="21">
        <f t="shared" si="10"/>
        <v>63.187056691787781</v>
      </c>
    </row>
    <row r="28" spans="1:10" ht="60" customHeight="1">
      <c r="A28" s="7"/>
      <c r="B28" s="23" t="s">
        <v>41</v>
      </c>
      <c r="C28" s="17" t="s">
        <v>42</v>
      </c>
      <c r="D28" s="20"/>
      <c r="E28" s="21">
        <f>E29</f>
        <v>0</v>
      </c>
      <c r="F28" s="21">
        <f>F29+F31</f>
        <v>2375.8000000000002</v>
      </c>
      <c r="G28" s="22">
        <f>G29+G31</f>
        <v>3192.8</v>
      </c>
      <c r="H28" s="21">
        <f>H29+H31</f>
        <v>2031.51448</v>
      </c>
      <c r="I28" s="21">
        <f t="shared" si="9"/>
        <v>-1161.2855200000001</v>
      </c>
      <c r="J28" s="21">
        <f t="shared" si="10"/>
        <v>63.627990478576791</v>
      </c>
    </row>
    <row r="29" spans="1:10" ht="56.25">
      <c r="A29" s="7"/>
      <c r="B29" s="23" t="s">
        <v>43</v>
      </c>
      <c r="C29" s="17" t="s">
        <v>44</v>
      </c>
      <c r="D29" s="20"/>
      <c r="E29" s="21">
        <f t="shared" ref="E29:H29" si="12">E30</f>
        <v>0</v>
      </c>
      <c r="F29" s="21">
        <f t="shared" si="12"/>
        <v>475.8</v>
      </c>
      <c r="G29" s="22">
        <f t="shared" si="12"/>
        <v>302.8</v>
      </c>
      <c r="H29" s="21">
        <f t="shared" si="12"/>
        <v>116.51448000000001</v>
      </c>
      <c r="I29" s="21">
        <f t="shared" si="9"/>
        <v>-186.28552000000002</v>
      </c>
      <c r="J29" s="21">
        <f t="shared" si="10"/>
        <v>38.479022457067373</v>
      </c>
    </row>
    <row r="30" spans="1:10" ht="18.75">
      <c r="A30" s="7"/>
      <c r="B30" s="23" t="s">
        <v>45</v>
      </c>
      <c r="C30" s="17" t="s">
        <v>44</v>
      </c>
      <c r="D30" s="20">
        <v>300</v>
      </c>
      <c r="E30" s="21"/>
      <c r="F30" s="21">
        <v>475.8</v>
      </c>
      <c r="G30" s="22">
        <v>302.8</v>
      </c>
      <c r="H30" s="21">
        <v>116.51448000000001</v>
      </c>
      <c r="I30" s="21">
        <f t="shared" si="9"/>
        <v>-186.28552000000002</v>
      </c>
      <c r="J30" s="21">
        <f t="shared" si="10"/>
        <v>38.479022457067373</v>
      </c>
    </row>
    <row r="31" spans="1:10" ht="24" customHeight="1">
      <c r="A31" s="7"/>
      <c r="B31" s="23" t="s">
        <v>46</v>
      </c>
      <c r="C31" s="17" t="s">
        <v>47</v>
      </c>
      <c r="D31" s="20"/>
      <c r="E31" s="21">
        <f t="shared" ref="E31:H31" si="13">E32</f>
        <v>0</v>
      </c>
      <c r="F31" s="21">
        <f t="shared" si="13"/>
        <v>1900</v>
      </c>
      <c r="G31" s="22">
        <f t="shared" si="13"/>
        <v>2890</v>
      </c>
      <c r="H31" s="21">
        <f t="shared" si="13"/>
        <v>1915</v>
      </c>
      <c r="I31" s="21">
        <f t="shared" si="9"/>
        <v>-975</v>
      </c>
      <c r="J31" s="21">
        <f t="shared" si="10"/>
        <v>66.262975778546718</v>
      </c>
    </row>
    <row r="32" spans="1:10" ht="37.5">
      <c r="A32" s="7"/>
      <c r="B32" s="23" t="s">
        <v>20</v>
      </c>
      <c r="C32" s="17" t="s">
        <v>47</v>
      </c>
      <c r="D32" s="20">
        <v>600</v>
      </c>
      <c r="E32" s="21"/>
      <c r="F32" s="21">
        <v>1900</v>
      </c>
      <c r="G32" s="22">
        <f>2962.5-72.5</f>
        <v>2890</v>
      </c>
      <c r="H32" s="21">
        <v>1915</v>
      </c>
      <c r="I32" s="21">
        <f t="shared" si="9"/>
        <v>-975</v>
      </c>
      <c r="J32" s="21">
        <f t="shared" si="10"/>
        <v>66.262975778546718</v>
      </c>
    </row>
    <row r="33" spans="1:10" ht="18.75">
      <c r="A33" s="7"/>
      <c r="B33" s="23" t="s">
        <v>48</v>
      </c>
      <c r="C33" s="17" t="s">
        <v>49</v>
      </c>
      <c r="D33" s="20" t="s">
        <v>15</v>
      </c>
      <c r="E33" s="21">
        <f>E34+E36+E62+E69+E76+E82+E90</f>
        <v>74503.899999999994</v>
      </c>
      <c r="F33" s="21">
        <f>F34+F36+F62+F69+F76+F82+F90</f>
        <v>173237.30000000002</v>
      </c>
      <c r="G33" s="22">
        <f>G34+G36+G62+G69+G76+G82+G90+G79+G74+G93+G85+G88</f>
        <v>420032.06227999995</v>
      </c>
      <c r="H33" s="21">
        <f>H34+H36+H62+H69+H76+H82+H90+H79+H74+H93</f>
        <v>257586.07933000001</v>
      </c>
      <c r="I33" s="21">
        <f t="shared" si="9"/>
        <v>-162445.98294999995</v>
      </c>
      <c r="J33" s="21">
        <f t="shared" si="10"/>
        <v>61.325337387765678</v>
      </c>
    </row>
    <row r="34" spans="1:10" ht="37.5">
      <c r="A34" s="7"/>
      <c r="B34" s="16" t="s">
        <v>50</v>
      </c>
      <c r="C34" s="17" t="s">
        <v>51</v>
      </c>
      <c r="D34" s="20" t="s">
        <v>15</v>
      </c>
      <c r="E34" s="21">
        <f t="shared" ref="E34:H34" si="14">E35</f>
        <v>935.8</v>
      </c>
      <c r="F34" s="21">
        <f t="shared" si="14"/>
        <v>0</v>
      </c>
      <c r="G34" s="22">
        <f t="shared" si="14"/>
        <v>2078.96</v>
      </c>
      <c r="H34" s="21">
        <f t="shared" si="14"/>
        <v>2730.6006200000002</v>
      </c>
      <c r="I34" s="21">
        <f t="shared" si="9"/>
        <v>651.64062000000013</v>
      </c>
      <c r="J34" s="21">
        <f t="shared" si="10"/>
        <v>131.34454823565628</v>
      </c>
    </row>
    <row r="35" spans="1:10" ht="37.5">
      <c r="A35" s="7"/>
      <c r="B35" s="23" t="s">
        <v>20</v>
      </c>
      <c r="C35" s="17" t="s">
        <v>51</v>
      </c>
      <c r="D35" s="20">
        <v>600</v>
      </c>
      <c r="E35" s="21">
        <v>935.8</v>
      </c>
      <c r="F35" s="21">
        <v>0</v>
      </c>
      <c r="G35" s="22">
        <v>2078.96</v>
      </c>
      <c r="H35" s="21">
        <v>2730.6006200000002</v>
      </c>
      <c r="I35" s="21">
        <f t="shared" si="9"/>
        <v>651.64062000000013</v>
      </c>
      <c r="J35" s="21">
        <f t="shared" si="10"/>
        <v>131.34454823565628</v>
      </c>
    </row>
    <row r="36" spans="1:10" ht="18.75">
      <c r="A36" s="7"/>
      <c r="B36" s="23" t="s">
        <v>52</v>
      </c>
      <c r="C36" s="17" t="s">
        <v>53</v>
      </c>
      <c r="D36" s="20"/>
      <c r="E36" s="21">
        <f>E37+E39+E43+E46+E49+E51+E58</f>
        <v>14491.1</v>
      </c>
      <c r="F36" s="21">
        <f>F37+F39+F43+F46+F49+F51+F58</f>
        <v>965.7</v>
      </c>
      <c r="G36" s="22">
        <f>G37+G39+G43+G46+G49+G51+G58+G53+G55+G60+G41</f>
        <v>27526.566599999998</v>
      </c>
      <c r="H36" s="21">
        <f>H37+H39+H43+H46+H49+H51+H58+H53+H55+H60+H41</f>
        <v>23387.630649999999</v>
      </c>
      <c r="I36" s="21">
        <f t="shared" si="9"/>
        <v>-4138.9359499999991</v>
      </c>
      <c r="J36" s="21">
        <f t="shared" si="10"/>
        <v>84.963849614284996</v>
      </c>
    </row>
    <row r="37" spans="1:10" ht="18.75">
      <c r="A37" s="7"/>
      <c r="B37" s="23" t="s">
        <v>54</v>
      </c>
      <c r="C37" s="17" t="s">
        <v>55</v>
      </c>
      <c r="D37" s="20"/>
      <c r="E37" s="21">
        <f t="shared" ref="E37:H37" si="15">E38</f>
        <v>10864.7</v>
      </c>
      <c r="F37" s="21">
        <f t="shared" si="15"/>
        <v>0</v>
      </c>
      <c r="G37" s="22">
        <f t="shared" si="15"/>
        <v>13427.3086</v>
      </c>
      <c r="H37" s="21">
        <f t="shared" si="15"/>
        <v>7685.2080599999999</v>
      </c>
      <c r="I37" s="21">
        <f t="shared" si="9"/>
        <v>-5742.1005400000004</v>
      </c>
      <c r="J37" s="21">
        <f t="shared" si="10"/>
        <v>57.235655252609597</v>
      </c>
    </row>
    <row r="38" spans="1:10" ht="37.5">
      <c r="A38" s="7"/>
      <c r="B38" s="23" t="s">
        <v>20</v>
      </c>
      <c r="C38" s="17" t="s">
        <v>55</v>
      </c>
      <c r="D38" s="20">
        <v>600</v>
      </c>
      <c r="E38" s="21">
        <v>10864.7</v>
      </c>
      <c r="F38" s="21">
        <v>0</v>
      </c>
      <c r="G38" s="22">
        <f>12326.54832+728.51328-73.353+445.6</f>
        <v>13427.3086</v>
      </c>
      <c r="H38" s="21">
        <v>7685.2080599999999</v>
      </c>
      <c r="I38" s="21">
        <f t="shared" si="9"/>
        <v>-5742.1005400000004</v>
      </c>
      <c r="J38" s="21">
        <f t="shared" si="10"/>
        <v>57.235655252609597</v>
      </c>
    </row>
    <row r="39" spans="1:10" ht="41.25" customHeight="1">
      <c r="A39" s="7"/>
      <c r="B39" s="23" t="s">
        <v>56</v>
      </c>
      <c r="C39" s="17" t="s">
        <v>57</v>
      </c>
      <c r="D39" s="20"/>
      <c r="E39" s="21">
        <v>3163</v>
      </c>
      <c r="F39" s="21">
        <v>0</v>
      </c>
      <c r="G39" s="22">
        <f>G40</f>
        <v>7853.1840000000002</v>
      </c>
      <c r="H39" s="21">
        <f>H40</f>
        <v>12035.022870000001</v>
      </c>
      <c r="I39" s="21">
        <f t="shared" si="9"/>
        <v>4181.8388700000005</v>
      </c>
      <c r="J39" s="21">
        <f t="shared" si="10"/>
        <v>153.25023417253436</v>
      </c>
    </row>
    <row r="40" spans="1:10" ht="37.5">
      <c r="A40" s="7"/>
      <c r="B40" s="23" t="s">
        <v>20</v>
      </c>
      <c r="C40" s="17" t="s">
        <v>57</v>
      </c>
      <c r="D40" s="20">
        <v>600</v>
      </c>
      <c r="E40" s="21">
        <v>3163</v>
      </c>
      <c r="F40" s="21"/>
      <c r="G40" s="22">
        <v>7853.1840000000002</v>
      </c>
      <c r="H40" s="21">
        <v>12035.022870000001</v>
      </c>
      <c r="I40" s="21">
        <f t="shared" si="9"/>
        <v>4181.8388700000005</v>
      </c>
      <c r="J40" s="21">
        <f t="shared" si="10"/>
        <v>153.25023417253436</v>
      </c>
    </row>
    <row r="41" spans="1:10" ht="18.75">
      <c r="A41" s="7"/>
      <c r="B41" s="23" t="s">
        <v>58</v>
      </c>
      <c r="C41" s="17" t="s">
        <v>59</v>
      </c>
      <c r="D41" s="20"/>
      <c r="E41" s="21"/>
      <c r="F41" s="21"/>
      <c r="G41" s="22">
        <f>G42</f>
        <v>60.88</v>
      </c>
      <c r="H41" s="21">
        <f>H42</f>
        <v>134.19999999999999</v>
      </c>
      <c r="I41" s="21">
        <f t="shared" si="9"/>
        <v>73.319999999999993</v>
      </c>
      <c r="J41" s="21">
        <f t="shared" si="10"/>
        <v>220.43363994743754</v>
      </c>
    </row>
    <row r="42" spans="1:10" ht="37.5">
      <c r="A42" s="7"/>
      <c r="B42" s="23" t="s">
        <v>32</v>
      </c>
      <c r="C42" s="17" t="s">
        <v>59</v>
      </c>
      <c r="D42" s="20">
        <v>200</v>
      </c>
      <c r="E42" s="21"/>
      <c r="F42" s="21"/>
      <c r="G42" s="22">
        <v>60.88</v>
      </c>
      <c r="H42" s="21">
        <v>134.19999999999999</v>
      </c>
      <c r="I42" s="21">
        <f t="shared" si="9"/>
        <v>73.319999999999993</v>
      </c>
      <c r="J42" s="21">
        <f t="shared" si="10"/>
        <v>220.43363994743754</v>
      </c>
    </row>
    <row r="43" spans="1:10" ht="56.25">
      <c r="A43" s="7"/>
      <c r="B43" s="23" t="s">
        <v>60</v>
      </c>
      <c r="C43" s="17" t="s">
        <v>61</v>
      </c>
      <c r="D43" s="20"/>
      <c r="E43" s="21">
        <v>75</v>
      </c>
      <c r="F43" s="21">
        <v>0</v>
      </c>
      <c r="G43" s="22">
        <f>G45+G44</f>
        <v>101.405</v>
      </c>
      <c r="H43" s="21">
        <f>H45+H44</f>
        <v>126.176</v>
      </c>
      <c r="I43" s="21">
        <f t="shared" si="9"/>
        <v>24.771000000000001</v>
      </c>
      <c r="J43" s="21">
        <f t="shared" si="10"/>
        <v>124.42778955672797</v>
      </c>
    </row>
    <row r="44" spans="1:10" ht="37.5">
      <c r="A44" s="7"/>
      <c r="B44" s="23" t="s">
        <v>32</v>
      </c>
      <c r="C44" s="17" t="s">
        <v>61</v>
      </c>
      <c r="D44" s="20">
        <v>200</v>
      </c>
      <c r="E44" s="21"/>
      <c r="F44" s="21"/>
      <c r="G44" s="22">
        <v>101.405</v>
      </c>
      <c r="H44" s="21">
        <v>126.176</v>
      </c>
      <c r="I44" s="21">
        <f t="shared" si="9"/>
        <v>24.771000000000001</v>
      </c>
      <c r="J44" s="21">
        <f t="shared" si="10"/>
        <v>124.42778955672797</v>
      </c>
    </row>
    <row r="45" spans="1:10" ht="37.5" hidden="1">
      <c r="A45" s="7"/>
      <c r="B45" s="23" t="s">
        <v>20</v>
      </c>
      <c r="C45" s="17" t="s">
        <v>61</v>
      </c>
      <c r="D45" s="20">
        <v>600</v>
      </c>
      <c r="E45" s="21">
        <v>75</v>
      </c>
      <c r="F45" s="21"/>
      <c r="G45" s="22">
        <v>0</v>
      </c>
      <c r="H45" s="21">
        <v>0</v>
      </c>
      <c r="I45" s="21">
        <f t="shared" si="9"/>
        <v>0</v>
      </c>
      <c r="J45" s="21" t="e">
        <f t="shared" si="10"/>
        <v>#DIV/0!</v>
      </c>
    </row>
    <row r="46" spans="1:10" ht="42" customHeight="1">
      <c r="A46" s="7"/>
      <c r="B46" s="23" t="s">
        <v>62</v>
      </c>
      <c r="C46" s="17" t="s">
        <v>63</v>
      </c>
      <c r="D46" s="20"/>
      <c r="E46" s="21">
        <v>100</v>
      </c>
      <c r="F46" s="21">
        <v>0</v>
      </c>
      <c r="G46" s="22">
        <f>G48+G47</f>
        <v>105</v>
      </c>
      <c r="H46" s="21">
        <f>H48+H47</f>
        <v>102</v>
      </c>
      <c r="I46" s="21">
        <f t="shared" si="9"/>
        <v>-3</v>
      </c>
      <c r="J46" s="21">
        <f t="shared" si="10"/>
        <v>97.142857142857139</v>
      </c>
    </row>
    <row r="47" spans="1:10" ht="24" customHeight="1">
      <c r="A47" s="7"/>
      <c r="B47" s="23" t="s">
        <v>45</v>
      </c>
      <c r="C47" s="17" t="s">
        <v>63</v>
      </c>
      <c r="D47" s="20">
        <v>300</v>
      </c>
      <c r="E47" s="21"/>
      <c r="F47" s="21"/>
      <c r="G47" s="22">
        <v>105</v>
      </c>
      <c r="H47" s="21">
        <v>102</v>
      </c>
      <c r="I47" s="21">
        <f t="shared" si="9"/>
        <v>-3</v>
      </c>
      <c r="J47" s="21">
        <f t="shared" si="10"/>
        <v>97.142857142857139</v>
      </c>
    </row>
    <row r="48" spans="1:10" ht="37.5" hidden="1">
      <c r="A48" s="7"/>
      <c r="B48" s="23" t="s">
        <v>20</v>
      </c>
      <c r="C48" s="17" t="s">
        <v>63</v>
      </c>
      <c r="D48" s="20">
        <v>600</v>
      </c>
      <c r="E48" s="21">
        <v>100</v>
      </c>
      <c r="F48" s="21"/>
      <c r="G48" s="22">
        <v>0</v>
      </c>
      <c r="H48" s="21">
        <v>0</v>
      </c>
      <c r="I48" s="21">
        <f t="shared" si="9"/>
        <v>0</v>
      </c>
      <c r="J48" s="21" t="e">
        <f t="shared" si="10"/>
        <v>#DIV/0!</v>
      </c>
    </row>
    <row r="49" spans="1:12" ht="37.5">
      <c r="A49" s="7"/>
      <c r="B49" s="23" t="s">
        <v>64</v>
      </c>
      <c r="C49" s="17" t="s">
        <v>65</v>
      </c>
      <c r="D49" s="20" t="s">
        <v>15</v>
      </c>
      <c r="E49" s="21">
        <v>218.4</v>
      </c>
      <c r="F49" s="21">
        <v>0</v>
      </c>
      <c r="G49" s="22">
        <f>G50</f>
        <v>343</v>
      </c>
      <c r="H49" s="21">
        <f>H50</f>
        <v>378.07100000000003</v>
      </c>
      <c r="I49" s="21">
        <f t="shared" si="9"/>
        <v>35.071000000000026</v>
      </c>
      <c r="J49" s="21">
        <f t="shared" si="10"/>
        <v>110.22478134110787</v>
      </c>
    </row>
    <row r="50" spans="1:12" ht="37.5">
      <c r="A50" s="7"/>
      <c r="B50" s="23" t="s">
        <v>20</v>
      </c>
      <c r="C50" s="17" t="s">
        <v>65</v>
      </c>
      <c r="D50" s="20">
        <v>600</v>
      </c>
      <c r="E50" s="21">
        <v>218.4</v>
      </c>
      <c r="F50" s="21">
        <v>0</v>
      </c>
      <c r="G50" s="22">
        <v>343</v>
      </c>
      <c r="H50" s="21">
        <v>378.07100000000003</v>
      </c>
      <c r="I50" s="21">
        <f t="shared" si="9"/>
        <v>35.071000000000026</v>
      </c>
      <c r="J50" s="21">
        <f t="shared" si="10"/>
        <v>110.22478134110787</v>
      </c>
    </row>
    <row r="51" spans="1:12" ht="56.25">
      <c r="A51" s="7"/>
      <c r="B51" s="23" t="s">
        <v>66</v>
      </c>
      <c r="C51" s="17" t="s">
        <v>67</v>
      </c>
      <c r="D51" s="20"/>
      <c r="E51" s="21">
        <v>70</v>
      </c>
      <c r="F51" s="21">
        <v>0</v>
      </c>
      <c r="G51" s="22">
        <f>G52</f>
        <v>70</v>
      </c>
      <c r="H51" s="21">
        <f>H52</f>
        <v>70</v>
      </c>
      <c r="I51" s="21">
        <f t="shared" si="9"/>
        <v>0</v>
      </c>
      <c r="J51" s="21">
        <f t="shared" si="10"/>
        <v>100</v>
      </c>
    </row>
    <row r="52" spans="1:12" ht="38.25" customHeight="1">
      <c r="A52" s="7"/>
      <c r="B52" s="23" t="s">
        <v>20</v>
      </c>
      <c r="C52" s="17" t="s">
        <v>67</v>
      </c>
      <c r="D52" s="20">
        <v>600</v>
      </c>
      <c r="E52" s="21">
        <v>70</v>
      </c>
      <c r="F52" s="21"/>
      <c r="G52" s="22">
        <v>70</v>
      </c>
      <c r="H52" s="21">
        <v>70</v>
      </c>
      <c r="I52" s="21">
        <f t="shared" si="9"/>
        <v>0</v>
      </c>
      <c r="J52" s="21">
        <f t="shared" si="10"/>
        <v>100</v>
      </c>
    </row>
    <row r="53" spans="1:12" ht="18.75">
      <c r="A53" s="7"/>
      <c r="B53" s="23" t="s">
        <v>68</v>
      </c>
      <c r="C53" s="17" t="s">
        <v>69</v>
      </c>
      <c r="D53" s="20" t="s">
        <v>15</v>
      </c>
      <c r="E53" s="21"/>
      <c r="F53" s="21"/>
      <c r="G53" s="22">
        <f>G54</f>
        <v>599.97400000000005</v>
      </c>
      <c r="H53" s="21">
        <f>H54</f>
        <v>0</v>
      </c>
      <c r="I53" s="21">
        <f t="shared" si="9"/>
        <v>-599.97400000000005</v>
      </c>
      <c r="J53" s="21">
        <f t="shared" si="10"/>
        <v>0</v>
      </c>
    </row>
    <row r="54" spans="1:12" ht="37.5">
      <c r="A54" s="7"/>
      <c r="B54" s="23" t="s">
        <v>20</v>
      </c>
      <c r="C54" s="17" t="s">
        <v>69</v>
      </c>
      <c r="D54" s="20">
        <v>600</v>
      </c>
      <c r="E54" s="21"/>
      <c r="F54" s="21"/>
      <c r="G54" s="22">
        <v>599.97400000000005</v>
      </c>
      <c r="H54" s="21"/>
      <c r="I54" s="21">
        <f t="shared" si="9"/>
        <v>-599.97400000000005</v>
      </c>
      <c r="J54" s="21">
        <f t="shared" si="10"/>
        <v>0</v>
      </c>
    </row>
    <row r="55" spans="1:12" ht="39" customHeight="1">
      <c r="A55" s="7"/>
      <c r="B55" s="23" t="s">
        <v>70</v>
      </c>
      <c r="C55" s="17" t="s">
        <v>71</v>
      </c>
      <c r="D55" s="20"/>
      <c r="E55" s="21"/>
      <c r="F55" s="21"/>
      <c r="G55" s="22">
        <f>G57+G56</f>
        <v>123.315</v>
      </c>
      <c r="H55" s="21">
        <f>H57+H56</f>
        <v>7.5</v>
      </c>
      <c r="I55" s="21">
        <f t="shared" si="9"/>
        <v>-115.815</v>
      </c>
      <c r="J55" s="21">
        <f t="shared" si="10"/>
        <v>6.0819851599562096</v>
      </c>
    </row>
    <row r="56" spans="1:12" ht="39" customHeight="1">
      <c r="A56" s="7"/>
      <c r="B56" s="23" t="s">
        <v>32</v>
      </c>
      <c r="C56" s="17" t="s">
        <v>71</v>
      </c>
      <c r="D56" s="20">
        <v>200</v>
      </c>
      <c r="E56" s="21"/>
      <c r="F56" s="21"/>
      <c r="G56" s="22">
        <v>123.315</v>
      </c>
      <c r="H56" s="21">
        <v>7.5</v>
      </c>
      <c r="I56" s="21">
        <f t="shared" si="9"/>
        <v>-115.815</v>
      </c>
      <c r="J56" s="21">
        <f t="shared" si="10"/>
        <v>6.0819851599562096</v>
      </c>
    </row>
    <row r="57" spans="1:12" ht="37.5" hidden="1">
      <c r="A57" s="7"/>
      <c r="B57" s="23" t="s">
        <v>20</v>
      </c>
      <c r="C57" s="17" t="s">
        <v>71</v>
      </c>
      <c r="D57" s="20">
        <v>600</v>
      </c>
      <c r="E57" s="21"/>
      <c r="F57" s="21"/>
      <c r="G57" s="22"/>
      <c r="H57" s="21"/>
      <c r="I57" s="21">
        <f t="shared" si="9"/>
        <v>0</v>
      </c>
      <c r="J57" s="21" t="e">
        <f t="shared" si="10"/>
        <v>#DIV/0!</v>
      </c>
    </row>
    <row r="58" spans="1:12" ht="37.5">
      <c r="A58" s="7"/>
      <c r="B58" s="25" t="s">
        <v>72</v>
      </c>
      <c r="C58" s="17" t="s">
        <v>73</v>
      </c>
      <c r="D58" s="20"/>
      <c r="E58" s="21">
        <f t="shared" ref="E58:H58" si="16">E59</f>
        <v>0</v>
      </c>
      <c r="F58" s="21">
        <f t="shared" si="16"/>
        <v>965.7</v>
      </c>
      <c r="G58" s="22">
        <f t="shared" si="16"/>
        <v>1476.3</v>
      </c>
      <c r="H58" s="21">
        <f t="shared" si="16"/>
        <v>1217.202</v>
      </c>
      <c r="I58" s="21">
        <f t="shared" si="9"/>
        <v>-259.09799999999996</v>
      </c>
      <c r="J58" s="21">
        <f t="shared" si="10"/>
        <v>82.449502133712656</v>
      </c>
      <c r="L58" s="26"/>
    </row>
    <row r="59" spans="1:12" ht="37.5">
      <c r="A59" s="7"/>
      <c r="B59" s="23" t="s">
        <v>20</v>
      </c>
      <c r="C59" s="17" t="s">
        <v>73</v>
      </c>
      <c r="D59" s="20" t="str">
        <f>'[1]2018'!G105</f>
        <v>600</v>
      </c>
      <c r="E59" s="21">
        <v>0</v>
      </c>
      <c r="F59" s="21">
        <v>965.7</v>
      </c>
      <c r="G59" s="22">
        <v>1476.3</v>
      </c>
      <c r="H59" s="21">
        <v>1217.202</v>
      </c>
      <c r="I59" s="21">
        <f t="shared" si="9"/>
        <v>-259.09799999999996</v>
      </c>
      <c r="J59" s="21">
        <f t="shared" si="10"/>
        <v>82.449502133712656</v>
      </c>
    </row>
    <row r="60" spans="1:12" ht="75">
      <c r="A60" s="7"/>
      <c r="B60" s="23" t="s">
        <v>74</v>
      </c>
      <c r="C60" s="17" t="s">
        <v>75</v>
      </c>
      <c r="D60" s="20"/>
      <c r="E60" s="21"/>
      <c r="F60" s="21"/>
      <c r="G60" s="22">
        <f>G61</f>
        <v>3366.2</v>
      </c>
      <c r="H60" s="21">
        <f>H61</f>
        <v>1632.25072</v>
      </c>
      <c r="I60" s="21">
        <f t="shared" si="9"/>
        <v>-1733.9492799999998</v>
      </c>
      <c r="J60" s="21">
        <f t="shared" si="10"/>
        <v>48.489415958647733</v>
      </c>
    </row>
    <row r="61" spans="1:12" ht="37.5">
      <c r="A61" s="7"/>
      <c r="B61" s="23" t="s">
        <v>20</v>
      </c>
      <c r="C61" s="17" t="s">
        <v>75</v>
      </c>
      <c r="D61" s="20">
        <v>600</v>
      </c>
      <c r="E61" s="21"/>
      <c r="F61" s="21"/>
      <c r="G61" s="22">
        <v>3366.2</v>
      </c>
      <c r="H61" s="21">
        <v>1632.25072</v>
      </c>
      <c r="I61" s="21">
        <f t="shared" si="9"/>
        <v>-1733.9492799999998</v>
      </c>
      <c r="J61" s="21">
        <f t="shared" si="10"/>
        <v>48.489415958647733</v>
      </c>
    </row>
    <row r="62" spans="1:12" ht="18.75">
      <c r="A62" s="7"/>
      <c r="B62" s="23" t="s">
        <v>33</v>
      </c>
      <c r="C62" s="17" t="s">
        <v>76</v>
      </c>
      <c r="D62" s="20"/>
      <c r="E62" s="21">
        <f t="shared" ref="E62:H62" si="17">E63+E65+E67</f>
        <v>58903.1</v>
      </c>
      <c r="F62" s="21">
        <f t="shared" si="17"/>
        <v>163330.6</v>
      </c>
      <c r="G62" s="22">
        <f t="shared" si="17"/>
        <v>332420.239</v>
      </c>
      <c r="H62" s="21">
        <f t="shared" si="17"/>
        <v>202595.61978000001</v>
      </c>
      <c r="I62" s="21">
        <f t="shared" si="9"/>
        <v>-129824.61921999999</v>
      </c>
      <c r="J62" s="21">
        <f t="shared" si="10"/>
        <v>60.945633271143883</v>
      </c>
    </row>
    <row r="63" spans="1:12" ht="37.5">
      <c r="A63" s="7"/>
      <c r="B63" s="23" t="s">
        <v>35</v>
      </c>
      <c r="C63" s="17" t="s">
        <v>77</v>
      </c>
      <c r="D63" s="20" t="s">
        <v>15</v>
      </c>
      <c r="E63" s="21">
        <f t="shared" ref="E63:H63" si="18">E64</f>
        <v>58534.1</v>
      </c>
      <c r="F63" s="21">
        <f t="shared" si="18"/>
        <v>0</v>
      </c>
      <c r="G63" s="22">
        <f t="shared" si="18"/>
        <v>75297.138999999996</v>
      </c>
      <c r="H63" s="21">
        <f t="shared" si="18"/>
        <v>47308.311020000001</v>
      </c>
      <c r="I63" s="21">
        <f t="shared" si="9"/>
        <v>-27988.827979999995</v>
      </c>
      <c r="J63" s="21">
        <f t="shared" si="10"/>
        <v>62.828829419401991</v>
      </c>
    </row>
    <row r="64" spans="1:12" ht="37.5">
      <c r="A64" s="7"/>
      <c r="B64" s="23" t="s">
        <v>20</v>
      </c>
      <c r="C64" s="17" t="s">
        <v>77</v>
      </c>
      <c r="D64" s="20">
        <v>600</v>
      </c>
      <c r="E64" s="21">
        <f>65913.7-7010.6-369</f>
        <v>58534.1</v>
      </c>
      <c r="F64" s="21"/>
      <c r="G64" s="22">
        <f>76792.639-1495.5</f>
        <v>75297.138999999996</v>
      </c>
      <c r="H64" s="21">
        <v>47308.311020000001</v>
      </c>
      <c r="I64" s="21">
        <f t="shared" si="9"/>
        <v>-27988.827979999995</v>
      </c>
      <c r="J64" s="21">
        <f t="shared" si="10"/>
        <v>62.828829419401991</v>
      </c>
    </row>
    <row r="65" spans="1:10" ht="37.5">
      <c r="A65" s="7"/>
      <c r="B65" s="23" t="s">
        <v>39</v>
      </c>
      <c r="C65" s="17" t="s">
        <v>78</v>
      </c>
      <c r="D65" s="20"/>
      <c r="E65" s="21">
        <f t="shared" ref="E65:H65" si="19">E66</f>
        <v>369</v>
      </c>
      <c r="F65" s="21">
        <f t="shared" si="19"/>
        <v>7010.6</v>
      </c>
      <c r="G65" s="22">
        <f t="shared" si="19"/>
        <v>5714.7</v>
      </c>
      <c r="H65" s="21">
        <f t="shared" si="19"/>
        <v>4870.6362499999996</v>
      </c>
      <c r="I65" s="21">
        <f t="shared" si="9"/>
        <v>-844.06375000000025</v>
      </c>
      <c r="J65" s="21">
        <f t="shared" si="10"/>
        <v>85.229955203247769</v>
      </c>
    </row>
    <row r="66" spans="1:10" ht="37.5">
      <c r="A66" s="7"/>
      <c r="B66" s="23" t="s">
        <v>20</v>
      </c>
      <c r="C66" s="17" t="s">
        <v>78</v>
      </c>
      <c r="D66" s="20">
        <v>600</v>
      </c>
      <c r="E66" s="21">
        <v>369</v>
      </c>
      <c r="F66" s="21">
        <v>7010.6</v>
      </c>
      <c r="G66" s="22">
        <v>5714.7</v>
      </c>
      <c r="H66" s="21">
        <v>4870.6362499999996</v>
      </c>
      <c r="I66" s="21">
        <f t="shared" si="9"/>
        <v>-844.06375000000025</v>
      </c>
      <c r="J66" s="21">
        <f t="shared" si="10"/>
        <v>85.229955203247769</v>
      </c>
    </row>
    <row r="67" spans="1:10" ht="98.25" customHeight="1">
      <c r="A67" s="7"/>
      <c r="B67" s="23" t="s">
        <v>79</v>
      </c>
      <c r="C67" s="17" t="s">
        <v>80</v>
      </c>
      <c r="D67" s="20" t="s">
        <v>15</v>
      </c>
      <c r="E67" s="21">
        <f t="shared" ref="E67:H67" si="20">E68</f>
        <v>0</v>
      </c>
      <c r="F67" s="21">
        <f t="shared" si="20"/>
        <v>156320</v>
      </c>
      <c r="G67" s="22">
        <f t="shared" si="20"/>
        <v>251408.4</v>
      </c>
      <c r="H67" s="21">
        <f t="shared" si="20"/>
        <v>150416.67251</v>
      </c>
      <c r="I67" s="21">
        <f t="shared" si="9"/>
        <v>-100991.72748999999</v>
      </c>
      <c r="J67" s="21">
        <f t="shared" si="10"/>
        <v>59.829612896784681</v>
      </c>
    </row>
    <row r="68" spans="1:10" ht="37.5">
      <c r="A68" s="7"/>
      <c r="B68" s="23" t="s">
        <v>20</v>
      </c>
      <c r="C68" s="17" t="s">
        <v>80</v>
      </c>
      <c r="D68" s="20">
        <v>600</v>
      </c>
      <c r="E68" s="21"/>
      <c r="F68" s="21">
        <v>156320</v>
      </c>
      <c r="G68" s="22">
        <f>239705.5+5702.9+6000</f>
        <v>251408.4</v>
      </c>
      <c r="H68" s="21">
        <v>150416.67251</v>
      </c>
      <c r="I68" s="21">
        <f t="shared" si="9"/>
        <v>-100991.72748999999</v>
      </c>
      <c r="J68" s="21">
        <f t="shared" si="10"/>
        <v>59.829612896784681</v>
      </c>
    </row>
    <row r="69" spans="1:10" ht="61.5" customHeight="1">
      <c r="A69" s="7"/>
      <c r="B69" s="23" t="s">
        <v>41</v>
      </c>
      <c r="C69" s="17" t="s">
        <v>81</v>
      </c>
      <c r="D69" s="20"/>
      <c r="E69" s="21">
        <f>E70</f>
        <v>0</v>
      </c>
      <c r="F69" s="21">
        <f t="shared" ref="F69:H69" si="21">F70</f>
        <v>5050.8</v>
      </c>
      <c r="G69" s="22">
        <f t="shared" si="21"/>
        <v>5080</v>
      </c>
      <c r="H69" s="21">
        <f t="shared" si="21"/>
        <v>3926</v>
      </c>
      <c r="I69" s="21">
        <f t="shared" si="9"/>
        <v>-1154</v>
      </c>
      <c r="J69" s="21">
        <f t="shared" si="10"/>
        <v>77.28346456692914</v>
      </c>
    </row>
    <row r="70" spans="1:10" ht="24" customHeight="1">
      <c r="A70" s="7"/>
      <c r="B70" s="23" t="s">
        <v>46</v>
      </c>
      <c r="C70" s="17" t="s">
        <v>82</v>
      </c>
      <c r="D70" s="20"/>
      <c r="E70" s="21">
        <f t="shared" ref="E70:H70" si="22">E71</f>
        <v>0</v>
      </c>
      <c r="F70" s="21">
        <f t="shared" si="22"/>
        <v>5050.8</v>
      </c>
      <c r="G70" s="22">
        <f t="shared" si="22"/>
        <v>5080</v>
      </c>
      <c r="H70" s="21">
        <f t="shared" si="22"/>
        <v>3926</v>
      </c>
      <c r="I70" s="21">
        <f t="shared" si="9"/>
        <v>-1154</v>
      </c>
      <c r="J70" s="21">
        <f t="shared" si="10"/>
        <v>77.28346456692914</v>
      </c>
    </row>
    <row r="71" spans="1:10" ht="39.75" customHeight="1">
      <c r="A71" s="7"/>
      <c r="B71" s="23" t="s">
        <v>20</v>
      </c>
      <c r="C71" s="17" t="s">
        <v>82</v>
      </c>
      <c r="D71" s="20">
        <v>600</v>
      </c>
      <c r="E71" s="21"/>
      <c r="F71" s="21">
        <v>5050.8</v>
      </c>
      <c r="G71" s="22">
        <f>5920.8-840.8</f>
        <v>5080</v>
      </c>
      <c r="H71" s="21">
        <v>3926</v>
      </c>
      <c r="I71" s="21">
        <f t="shared" si="9"/>
        <v>-1154</v>
      </c>
      <c r="J71" s="21">
        <f t="shared" si="10"/>
        <v>77.28346456692914</v>
      </c>
    </row>
    <row r="72" spans="1:10" ht="24.75" hidden="1" customHeight="1">
      <c r="A72" s="7"/>
      <c r="B72" s="23" t="s">
        <v>83</v>
      </c>
      <c r="C72" s="17" t="s">
        <v>84</v>
      </c>
      <c r="D72" s="20"/>
      <c r="E72" s="21">
        <f t="shared" ref="E72:H72" si="23">E73</f>
        <v>0</v>
      </c>
      <c r="F72" s="21">
        <f t="shared" si="23"/>
        <v>417</v>
      </c>
      <c r="G72" s="22">
        <f t="shared" si="23"/>
        <v>0</v>
      </c>
      <c r="H72" s="21">
        <f t="shared" si="23"/>
        <v>0</v>
      </c>
      <c r="I72" s="21">
        <f t="shared" si="9"/>
        <v>0</v>
      </c>
      <c r="J72" s="21" t="e">
        <f t="shared" si="10"/>
        <v>#DIV/0!</v>
      </c>
    </row>
    <row r="73" spans="1:10" ht="37.5" hidden="1">
      <c r="A73" s="7"/>
      <c r="B73" s="23" t="s">
        <v>20</v>
      </c>
      <c r="C73" s="17" t="s">
        <v>84</v>
      </c>
      <c r="D73" s="20">
        <v>600</v>
      </c>
      <c r="E73" s="21"/>
      <c r="F73" s="21">
        <v>417</v>
      </c>
      <c r="G73" s="22"/>
      <c r="H73" s="21"/>
      <c r="I73" s="21">
        <f t="shared" si="9"/>
        <v>0</v>
      </c>
      <c r="J73" s="21" t="e">
        <f t="shared" si="10"/>
        <v>#DIV/0!</v>
      </c>
    </row>
    <row r="74" spans="1:10" ht="39.75" hidden="1" customHeight="1">
      <c r="A74" s="7"/>
      <c r="B74" s="23" t="s">
        <v>85</v>
      </c>
      <c r="C74" s="17" t="s">
        <v>86</v>
      </c>
      <c r="D74" s="20"/>
      <c r="E74" s="21"/>
      <c r="F74" s="21"/>
      <c r="G74" s="22">
        <f>G75</f>
        <v>0</v>
      </c>
      <c r="H74" s="21">
        <f>H75</f>
        <v>0</v>
      </c>
      <c r="I74" s="21">
        <f t="shared" ref="I74:I142" si="24">H74-G74</f>
        <v>0</v>
      </c>
      <c r="J74" s="21" t="e">
        <f t="shared" ref="J74:J142" si="25">H74/G74*100</f>
        <v>#DIV/0!</v>
      </c>
    </row>
    <row r="75" spans="1:10" ht="37.5" hidden="1">
      <c r="A75" s="7"/>
      <c r="B75" s="23" t="s">
        <v>20</v>
      </c>
      <c r="C75" s="17" t="s">
        <v>86</v>
      </c>
      <c r="D75" s="20">
        <v>600</v>
      </c>
      <c r="E75" s="21"/>
      <c r="F75" s="21"/>
      <c r="G75" s="22"/>
      <c r="H75" s="21"/>
      <c r="I75" s="21">
        <f t="shared" si="24"/>
        <v>0</v>
      </c>
      <c r="J75" s="21" t="e">
        <f t="shared" si="25"/>
        <v>#DIV/0!</v>
      </c>
    </row>
    <row r="76" spans="1:10" ht="37.5">
      <c r="A76" s="7"/>
      <c r="B76" s="23" t="s">
        <v>87</v>
      </c>
      <c r="C76" s="17" t="s">
        <v>88</v>
      </c>
      <c r="D76" s="20"/>
      <c r="E76" s="21">
        <f>E77</f>
        <v>0</v>
      </c>
      <c r="F76" s="21">
        <f t="shared" ref="F76:H76" si="26">F77</f>
        <v>417</v>
      </c>
      <c r="G76" s="22">
        <f t="shared" si="26"/>
        <v>779</v>
      </c>
      <c r="H76" s="21">
        <f t="shared" si="26"/>
        <v>490.18299999999999</v>
      </c>
      <c r="I76" s="21">
        <f t="shared" si="24"/>
        <v>-288.81700000000001</v>
      </c>
      <c r="J76" s="21">
        <f t="shared" si="25"/>
        <v>62.924646983311938</v>
      </c>
    </row>
    <row r="77" spans="1:10" ht="75" customHeight="1">
      <c r="A77" s="7"/>
      <c r="B77" s="23" t="s">
        <v>89</v>
      </c>
      <c r="C77" s="17" t="s">
        <v>90</v>
      </c>
      <c r="D77" s="20"/>
      <c r="E77" s="21">
        <f t="shared" ref="E77:H77" si="27">E78</f>
        <v>0</v>
      </c>
      <c r="F77" s="21">
        <f t="shared" si="27"/>
        <v>417</v>
      </c>
      <c r="G77" s="22">
        <f t="shared" si="27"/>
        <v>779</v>
      </c>
      <c r="H77" s="21">
        <f t="shared" si="27"/>
        <v>490.18299999999999</v>
      </c>
      <c r="I77" s="21">
        <f t="shared" si="24"/>
        <v>-288.81700000000001</v>
      </c>
      <c r="J77" s="21">
        <f t="shared" si="25"/>
        <v>62.924646983311938</v>
      </c>
    </row>
    <row r="78" spans="1:10" ht="37.5">
      <c r="A78" s="7"/>
      <c r="B78" s="23" t="s">
        <v>20</v>
      </c>
      <c r="C78" s="17" t="s">
        <v>90</v>
      </c>
      <c r="D78" s="20">
        <v>600</v>
      </c>
      <c r="E78" s="21">
        <v>0</v>
      </c>
      <c r="F78" s="21">
        <v>417</v>
      </c>
      <c r="G78" s="22">
        <f>592+187</f>
        <v>779</v>
      </c>
      <c r="H78" s="21">
        <v>490.18299999999999</v>
      </c>
      <c r="I78" s="21">
        <f t="shared" si="24"/>
        <v>-288.81700000000001</v>
      </c>
      <c r="J78" s="21">
        <f t="shared" si="25"/>
        <v>62.924646983311938</v>
      </c>
    </row>
    <row r="79" spans="1:10" ht="37.5">
      <c r="A79" s="7"/>
      <c r="B79" s="27" t="s">
        <v>91</v>
      </c>
      <c r="C79" s="17" t="s">
        <v>92</v>
      </c>
      <c r="D79" s="20"/>
      <c r="E79" s="21"/>
      <c r="F79" s="21"/>
      <c r="G79" s="22">
        <f>G80</f>
        <v>27446.54</v>
      </c>
      <c r="H79" s="21">
        <f>H80</f>
        <v>12179</v>
      </c>
      <c r="I79" s="21">
        <f t="shared" si="24"/>
        <v>-15267.54</v>
      </c>
      <c r="J79" s="21">
        <f t="shared" si="25"/>
        <v>44.373534879077653</v>
      </c>
    </row>
    <row r="80" spans="1:10" ht="56.25">
      <c r="A80" s="7"/>
      <c r="B80" s="27" t="s">
        <v>93</v>
      </c>
      <c r="C80" s="17" t="s">
        <v>94</v>
      </c>
      <c r="D80" s="20"/>
      <c r="E80" s="21"/>
      <c r="F80" s="21"/>
      <c r="G80" s="22">
        <f>G81</f>
        <v>27446.54</v>
      </c>
      <c r="H80" s="21">
        <f>H81</f>
        <v>12179</v>
      </c>
      <c r="I80" s="21">
        <f t="shared" si="24"/>
        <v>-15267.54</v>
      </c>
      <c r="J80" s="21">
        <f t="shared" si="25"/>
        <v>44.373534879077653</v>
      </c>
    </row>
    <row r="81" spans="1:10" ht="37.5">
      <c r="A81" s="7"/>
      <c r="B81" s="28" t="s">
        <v>20</v>
      </c>
      <c r="C81" s="17" t="s">
        <v>94</v>
      </c>
      <c r="D81" s="20">
        <v>600</v>
      </c>
      <c r="E81" s="21"/>
      <c r="F81" s="21"/>
      <c r="G81" s="22">
        <f>29646.54-2200</f>
        <v>27446.54</v>
      </c>
      <c r="H81" s="21">
        <v>12179</v>
      </c>
      <c r="I81" s="21">
        <f t="shared" si="24"/>
        <v>-15267.54</v>
      </c>
      <c r="J81" s="21">
        <f t="shared" si="25"/>
        <v>44.373534879077653</v>
      </c>
    </row>
    <row r="82" spans="1:10" ht="42" customHeight="1">
      <c r="A82" s="7"/>
      <c r="B82" s="23" t="s">
        <v>95</v>
      </c>
      <c r="C82" s="17" t="s">
        <v>96</v>
      </c>
      <c r="D82" s="20"/>
      <c r="E82" s="21">
        <f>E83</f>
        <v>0</v>
      </c>
      <c r="F82" s="21">
        <f t="shared" ref="F82:H83" si="28">F83</f>
        <v>169.7</v>
      </c>
      <c r="G82" s="22">
        <f t="shared" si="28"/>
        <v>20978.635579999998</v>
      </c>
      <c r="H82" s="21">
        <f t="shared" si="28"/>
        <v>11779.814050000001</v>
      </c>
      <c r="I82" s="21">
        <f t="shared" si="24"/>
        <v>-9198.8215299999974</v>
      </c>
      <c r="J82" s="21">
        <f t="shared" si="25"/>
        <v>56.151478512884303</v>
      </c>
    </row>
    <row r="83" spans="1:10" ht="39.75" customHeight="1">
      <c r="A83" s="7"/>
      <c r="B83" s="23" t="s">
        <v>97</v>
      </c>
      <c r="C83" s="17" t="s">
        <v>98</v>
      </c>
      <c r="D83" s="20"/>
      <c r="E83" s="21">
        <f>E84</f>
        <v>0</v>
      </c>
      <c r="F83" s="21">
        <f t="shared" si="28"/>
        <v>169.7</v>
      </c>
      <c r="G83" s="22">
        <f t="shared" si="28"/>
        <v>20978.635579999998</v>
      </c>
      <c r="H83" s="21">
        <f t="shared" si="28"/>
        <v>11779.814050000001</v>
      </c>
      <c r="I83" s="21">
        <f t="shared" si="24"/>
        <v>-9198.8215299999974</v>
      </c>
      <c r="J83" s="21">
        <f t="shared" si="25"/>
        <v>56.151478512884303</v>
      </c>
    </row>
    <row r="84" spans="1:10" ht="37.5">
      <c r="A84" s="7"/>
      <c r="B84" s="23" t="s">
        <v>20</v>
      </c>
      <c r="C84" s="17" t="s">
        <v>98</v>
      </c>
      <c r="D84" s="20">
        <v>600</v>
      </c>
      <c r="E84" s="21">
        <v>0</v>
      </c>
      <c r="F84" s="21">
        <v>169.7</v>
      </c>
      <c r="G84" s="22">
        <v>20978.635579999998</v>
      </c>
      <c r="H84" s="21">
        <v>11779.814050000001</v>
      </c>
      <c r="I84" s="21">
        <f t="shared" si="24"/>
        <v>-9198.8215299999974</v>
      </c>
      <c r="J84" s="21">
        <f t="shared" si="25"/>
        <v>56.151478512884303</v>
      </c>
    </row>
    <row r="85" spans="1:10" ht="37.5" hidden="1">
      <c r="A85" s="7"/>
      <c r="B85" s="23" t="s">
        <v>99</v>
      </c>
      <c r="C85" s="17" t="s">
        <v>100</v>
      </c>
      <c r="D85" s="20"/>
      <c r="E85" s="21"/>
      <c r="F85" s="21"/>
      <c r="G85" s="22">
        <f>G86</f>
        <v>0</v>
      </c>
      <c r="H85" s="21"/>
      <c r="I85" s="21"/>
      <c r="J85" s="21"/>
    </row>
    <row r="86" spans="1:10" ht="18.75" hidden="1">
      <c r="A86" s="7"/>
      <c r="B86" s="23" t="s">
        <v>101</v>
      </c>
      <c r="C86" s="17" t="s">
        <v>102</v>
      </c>
      <c r="D86" s="20"/>
      <c r="E86" s="21"/>
      <c r="F86" s="21"/>
      <c r="G86" s="22">
        <f>G87</f>
        <v>0</v>
      </c>
      <c r="H86" s="21"/>
      <c r="I86" s="21"/>
      <c r="J86" s="21"/>
    </row>
    <row r="87" spans="1:10" ht="37.5" hidden="1">
      <c r="A87" s="7"/>
      <c r="B87" s="23" t="s">
        <v>20</v>
      </c>
      <c r="C87" s="17" t="s">
        <v>102</v>
      </c>
      <c r="D87" s="20">
        <v>600</v>
      </c>
      <c r="E87" s="21"/>
      <c r="F87" s="21"/>
      <c r="G87" s="22">
        <f>98.7-98.7</f>
        <v>0</v>
      </c>
      <c r="H87" s="21"/>
      <c r="I87" s="21"/>
      <c r="J87" s="21"/>
    </row>
    <row r="88" spans="1:10" ht="56.25">
      <c r="A88" s="7"/>
      <c r="B88" s="23" t="s">
        <v>103</v>
      </c>
      <c r="C88" s="17" t="s">
        <v>104</v>
      </c>
      <c r="D88" s="20"/>
      <c r="E88" s="21"/>
      <c r="F88" s="21"/>
      <c r="G88" s="22">
        <f>G89</f>
        <v>260.39999999999998</v>
      </c>
      <c r="H88" s="21"/>
      <c r="I88" s="21"/>
      <c r="J88" s="21"/>
    </row>
    <row r="89" spans="1:10" ht="37.5">
      <c r="A89" s="7"/>
      <c r="B89" s="23" t="s">
        <v>20</v>
      </c>
      <c r="C89" s="17" t="s">
        <v>104</v>
      </c>
      <c r="D89" s="20">
        <v>600</v>
      </c>
      <c r="E89" s="21"/>
      <c r="F89" s="21"/>
      <c r="G89" s="22">
        <v>260.39999999999998</v>
      </c>
      <c r="H89" s="21"/>
      <c r="I89" s="21"/>
      <c r="J89" s="21"/>
    </row>
    <row r="90" spans="1:10" ht="25.5" customHeight="1">
      <c r="A90" s="7"/>
      <c r="B90" s="5" t="s">
        <v>105</v>
      </c>
      <c r="C90" s="17" t="s">
        <v>106</v>
      </c>
      <c r="D90" s="20"/>
      <c r="E90" s="21">
        <f>E91</f>
        <v>173.9</v>
      </c>
      <c r="F90" s="21">
        <f t="shared" ref="F90:H90" si="29">F91</f>
        <v>3303.5</v>
      </c>
      <c r="G90" s="22">
        <f t="shared" si="29"/>
        <v>1010.5316</v>
      </c>
      <c r="H90" s="21">
        <f t="shared" si="29"/>
        <v>0</v>
      </c>
      <c r="I90" s="21">
        <f t="shared" si="24"/>
        <v>-1010.5316</v>
      </c>
      <c r="J90" s="21">
        <f t="shared" si="25"/>
        <v>0</v>
      </c>
    </row>
    <row r="91" spans="1:10" ht="66" customHeight="1">
      <c r="A91" s="7"/>
      <c r="B91" s="23" t="s">
        <v>107</v>
      </c>
      <c r="C91" s="17" t="s">
        <v>108</v>
      </c>
      <c r="D91" s="20"/>
      <c r="E91" s="21">
        <f t="shared" ref="E91:H91" si="30">E92</f>
        <v>173.9</v>
      </c>
      <c r="F91" s="21">
        <f t="shared" si="30"/>
        <v>3303.5</v>
      </c>
      <c r="G91" s="22">
        <f t="shared" si="30"/>
        <v>1010.5316</v>
      </c>
      <c r="H91" s="21">
        <f t="shared" si="30"/>
        <v>0</v>
      </c>
      <c r="I91" s="21">
        <f t="shared" si="24"/>
        <v>-1010.5316</v>
      </c>
      <c r="J91" s="21">
        <f t="shared" si="25"/>
        <v>0</v>
      </c>
    </row>
    <row r="92" spans="1:10" ht="37.5">
      <c r="A92" s="7"/>
      <c r="B92" s="23" t="s">
        <v>20</v>
      </c>
      <c r="C92" s="17" t="s">
        <v>108</v>
      </c>
      <c r="D92" s="20">
        <v>600</v>
      </c>
      <c r="E92" s="21">
        <v>173.9</v>
      </c>
      <c r="F92" s="21">
        <v>3303.5</v>
      </c>
      <c r="G92" s="22">
        <v>1010.5316</v>
      </c>
      <c r="H92" s="21">
        <v>0</v>
      </c>
      <c r="I92" s="21">
        <f t="shared" si="24"/>
        <v>-1010.5316</v>
      </c>
      <c r="J92" s="21">
        <f t="shared" si="25"/>
        <v>0</v>
      </c>
    </row>
    <row r="93" spans="1:10" ht="37.5">
      <c r="A93" s="7"/>
      <c r="B93" s="23" t="s">
        <v>109</v>
      </c>
      <c r="C93" s="17" t="s">
        <v>110</v>
      </c>
      <c r="D93" s="20"/>
      <c r="E93" s="21"/>
      <c r="F93" s="21"/>
      <c r="G93" s="22">
        <f>G94</f>
        <v>2451.1895</v>
      </c>
      <c r="H93" s="21">
        <f>H94</f>
        <v>497.23122999999998</v>
      </c>
      <c r="I93" s="21">
        <f t="shared" si="24"/>
        <v>-1953.9582700000001</v>
      </c>
      <c r="J93" s="21">
        <f t="shared" si="25"/>
        <v>20.285303523044629</v>
      </c>
    </row>
    <row r="94" spans="1:10" ht="75">
      <c r="A94" s="7"/>
      <c r="B94" s="23" t="s">
        <v>111</v>
      </c>
      <c r="C94" s="17" t="s">
        <v>112</v>
      </c>
      <c r="D94" s="20"/>
      <c r="E94" s="21"/>
      <c r="F94" s="21"/>
      <c r="G94" s="22">
        <f>G95</f>
        <v>2451.1895</v>
      </c>
      <c r="H94" s="21">
        <v>497.23122999999998</v>
      </c>
      <c r="I94" s="21">
        <f t="shared" si="24"/>
        <v>-1953.9582700000001</v>
      </c>
      <c r="J94" s="21">
        <f t="shared" si="25"/>
        <v>20.285303523044629</v>
      </c>
    </row>
    <row r="95" spans="1:10" ht="37.5">
      <c r="A95" s="7"/>
      <c r="B95" s="23" t="s">
        <v>20</v>
      </c>
      <c r="C95" s="17" t="s">
        <v>112</v>
      </c>
      <c r="D95" s="20">
        <v>600</v>
      </c>
      <c r="E95" s="21"/>
      <c r="F95" s="21"/>
      <c r="G95" s="22">
        <v>2451.1895</v>
      </c>
      <c r="H95" s="21">
        <v>497.23122999999998</v>
      </c>
      <c r="I95" s="21">
        <f t="shared" si="24"/>
        <v>-1953.9582700000001</v>
      </c>
      <c r="J95" s="21">
        <f t="shared" si="25"/>
        <v>20.285303523044629</v>
      </c>
    </row>
    <row r="96" spans="1:10" ht="18.75">
      <c r="A96" s="7"/>
      <c r="B96" s="16" t="s">
        <v>113</v>
      </c>
      <c r="C96" s="17" t="s">
        <v>114</v>
      </c>
      <c r="D96" s="20"/>
      <c r="E96" s="21">
        <f>E97+E99+E107+E119</f>
        <v>21227</v>
      </c>
      <c r="F96" s="21">
        <f>F97+F99+F107+F119</f>
        <v>2035.6</v>
      </c>
      <c r="G96" s="22">
        <f>G97+G99+G107+G118+G121</f>
        <v>33144.441999999995</v>
      </c>
      <c r="H96" s="21">
        <f>H97+H99+H107+H118+H121</f>
        <v>23105.484539999998</v>
      </c>
      <c r="I96" s="21">
        <f t="shared" si="24"/>
        <v>-10038.957459999998</v>
      </c>
      <c r="J96" s="21">
        <f t="shared" si="25"/>
        <v>69.711490511742511</v>
      </c>
    </row>
    <row r="97" spans="1:10" ht="37.5">
      <c r="A97" s="7"/>
      <c r="B97" s="16" t="s">
        <v>115</v>
      </c>
      <c r="C97" s="17" t="s">
        <v>116</v>
      </c>
      <c r="D97" s="20"/>
      <c r="E97" s="21">
        <f t="shared" ref="E97:H97" si="31">E98</f>
        <v>52</v>
      </c>
      <c r="F97" s="21">
        <f t="shared" si="31"/>
        <v>0</v>
      </c>
      <c r="G97" s="22">
        <f t="shared" si="31"/>
        <v>281.22000000000003</v>
      </c>
      <c r="H97" s="21">
        <f t="shared" si="31"/>
        <v>102</v>
      </c>
      <c r="I97" s="21">
        <f t="shared" si="24"/>
        <v>-179.22000000000003</v>
      </c>
      <c r="J97" s="21">
        <f t="shared" si="25"/>
        <v>36.270535523789199</v>
      </c>
    </row>
    <row r="98" spans="1:10" ht="37.5">
      <c r="A98" s="7"/>
      <c r="B98" s="23" t="s">
        <v>20</v>
      </c>
      <c r="C98" s="17" t="s">
        <v>116</v>
      </c>
      <c r="D98" s="20">
        <v>600</v>
      </c>
      <c r="E98" s="21">
        <v>52</v>
      </c>
      <c r="F98" s="21"/>
      <c r="G98" s="22">
        <v>281.22000000000003</v>
      </c>
      <c r="H98" s="21">
        <v>102</v>
      </c>
      <c r="I98" s="21">
        <f t="shared" si="24"/>
        <v>-179.22000000000003</v>
      </c>
      <c r="J98" s="21">
        <f t="shared" si="25"/>
        <v>36.270535523789199</v>
      </c>
    </row>
    <row r="99" spans="1:10" ht="18.75">
      <c r="A99" s="7"/>
      <c r="B99" s="23" t="s">
        <v>33</v>
      </c>
      <c r="C99" s="17" t="s">
        <v>117</v>
      </c>
      <c r="D99" s="20"/>
      <c r="E99" s="21">
        <f t="shared" ref="E99:H99" si="32">E100+E102+E105</f>
        <v>20765.2</v>
      </c>
      <c r="F99" s="21">
        <f t="shared" si="32"/>
        <v>1685.6</v>
      </c>
      <c r="G99" s="22">
        <f t="shared" si="32"/>
        <v>31127.421999999999</v>
      </c>
      <c r="H99" s="21">
        <f t="shared" si="32"/>
        <v>21194.905039999998</v>
      </c>
      <c r="I99" s="21">
        <f t="shared" si="24"/>
        <v>-9932.5169600000008</v>
      </c>
      <c r="J99" s="21">
        <f t="shared" si="25"/>
        <v>68.09078194782721</v>
      </c>
    </row>
    <row r="100" spans="1:10" ht="37.5">
      <c r="A100" s="7"/>
      <c r="B100" s="16" t="s">
        <v>35</v>
      </c>
      <c r="C100" s="17" t="s">
        <v>118</v>
      </c>
      <c r="D100" s="20"/>
      <c r="E100" s="21">
        <f t="shared" ref="E100:H100" si="33">E101</f>
        <v>10123.5</v>
      </c>
      <c r="F100" s="21">
        <f t="shared" si="33"/>
        <v>0</v>
      </c>
      <c r="G100" s="22">
        <f t="shared" si="33"/>
        <v>13453.922</v>
      </c>
      <c r="H100" s="21">
        <f t="shared" si="33"/>
        <v>10851.60504</v>
      </c>
      <c r="I100" s="21">
        <f t="shared" si="24"/>
        <v>-2602.3169600000001</v>
      </c>
      <c r="J100" s="21">
        <f t="shared" si="25"/>
        <v>80.657558740120535</v>
      </c>
    </row>
    <row r="101" spans="1:10" ht="37.5">
      <c r="A101" s="7"/>
      <c r="B101" s="23" t="s">
        <v>20</v>
      </c>
      <c r="C101" s="17" t="s">
        <v>118</v>
      </c>
      <c r="D101" s="20">
        <v>600</v>
      </c>
      <c r="E101" s="21">
        <v>10123.5</v>
      </c>
      <c r="F101" s="21"/>
      <c r="G101" s="22">
        <f>13110.822+343.1</f>
        <v>13453.922</v>
      </c>
      <c r="H101" s="21">
        <v>10851.60504</v>
      </c>
      <c r="I101" s="21">
        <f t="shared" si="24"/>
        <v>-2602.3169600000001</v>
      </c>
      <c r="J101" s="21">
        <f t="shared" si="25"/>
        <v>80.657558740120535</v>
      </c>
    </row>
    <row r="102" spans="1:10" ht="37.5">
      <c r="A102" s="7"/>
      <c r="B102" s="23" t="s">
        <v>119</v>
      </c>
      <c r="C102" s="17" t="s">
        <v>120</v>
      </c>
      <c r="D102" s="20"/>
      <c r="E102" s="21">
        <f t="shared" ref="E102:F102" si="34">E103</f>
        <v>10553</v>
      </c>
      <c r="F102" s="21">
        <f t="shared" si="34"/>
        <v>0</v>
      </c>
      <c r="G102" s="22">
        <f>G103+G104</f>
        <v>17673.5</v>
      </c>
      <c r="H102" s="21">
        <f>H103+H104</f>
        <v>10343.299999999999</v>
      </c>
      <c r="I102" s="21">
        <f t="shared" si="24"/>
        <v>-7330.2000000000007</v>
      </c>
      <c r="J102" s="21">
        <f t="shared" si="25"/>
        <v>58.524344357371206</v>
      </c>
    </row>
    <row r="103" spans="1:10" ht="37.5">
      <c r="A103" s="7"/>
      <c r="B103" s="23" t="s">
        <v>20</v>
      </c>
      <c r="C103" s="17" t="s">
        <v>120</v>
      </c>
      <c r="D103" s="20">
        <v>600</v>
      </c>
      <c r="E103" s="21">
        <v>10553</v>
      </c>
      <c r="F103" s="21"/>
      <c r="G103" s="22">
        <f>18068.343-394.843</f>
        <v>17673.5</v>
      </c>
      <c r="H103" s="21">
        <v>10343.299999999999</v>
      </c>
      <c r="I103" s="21">
        <f t="shared" si="24"/>
        <v>-7330.2000000000007</v>
      </c>
      <c r="J103" s="21">
        <f t="shared" si="25"/>
        <v>58.524344357371206</v>
      </c>
    </row>
    <row r="104" spans="1:10" ht="18.75" hidden="1">
      <c r="A104" s="7"/>
      <c r="B104" s="23" t="s">
        <v>121</v>
      </c>
      <c r="C104" s="17" t="s">
        <v>120</v>
      </c>
      <c r="D104" s="20">
        <v>800</v>
      </c>
      <c r="E104" s="21"/>
      <c r="F104" s="21"/>
      <c r="G104" s="22">
        <f>55.8-55.8</f>
        <v>0</v>
      </c>
      <c r="H104" s="21">
        <v>0</v>
      </c>
      <c r="I104" s="21">
        <f t="shared" si="24"/>
        <v>0</v>
      </c>
      <c r="J104" s="21" t="e">
        <f t="shared" si="25"/>
        <v>#DIV/0!</v>
      </c>
    </row>
    <row r="105" spans="1:10" ht="37.5" hidden="1">
      <c r="A105" s="7"/>
      <c r="B105" s="23" t="s">
        <v>39</v>
      </c>
      <c r="C105" s="17" t="s">
        <v>122</v>
      </c>
      <c r="D105" s="20"/>
      <c r="E105" s="21">
        <f t="shared" ref="E105:H105" si="35">E106</f>
        <v>88.7</v>
      </c>
      <c r="F105" s="21">
        <f t="shared" si="35"/>
        <v>1685.6</v>
      </c>
      <c r="G105" s="22">
        <f t="shared" si="35"/>
        <v>0</v>
      </c>
      <c r="H105" s="21">
        <f t="shared" si="35"/>
        <v>0</v>
      </c>
      <c r="I105" s="21">
        <f t="shared" si="24"/>
        <v>0</v>
      </c>
      <c r="J105" s="21" t="e">
        <f t="shared" si="25"/>
        <v>#DIV/0!</v>
      </c>
    </row>
    <row r="106" spans="1:10" ht="37.5" hidden="1">
      <c r="A106" s="7"/>
      <c r="B106" s="23" t="s">
        <v>20</v>
      </c>
      <c r="C106" s="17" t="s">
        <v>122</v>
      </c>
      <c r="D106" s="20">
        <v>600</v>
      </c>
      <c r="E106" s="21">
        <v>88.7</v>
      </c>
      <c r="F106" s="21">
        <v>1685.6</v>
      </c>
      <c r="G106" s="22">
        <v>0</v>
      </c>
      <c r="H106" s="21"/>
      <c r="I106" s="21">
        <f t="shared" si="24"/>
        <v>0</v>
      </c>
      <c r="J106" s="21" t="e">
        <f t="shared" si="25"/>
        <v>#DIV/0!</v>
      </c>
    </row>
    <row r="107" spans="1:10" ht="18.75">
      <c r="A107" s="7"/>
      <c r="B107" s="23" t="s">
        <v>123</v>
      </c>
      <c r="C107" s="17" t="s">
        <v>124</v>
      </c>
      <c r="D107" s="20"/>
      <c r="E107" s="21">
        <f t="shared" ref="E107:F107" si="36">E108+E110+E112</f>
        <v>409.8</v>
      </c>
      <c r="F107" s="21">
        <f t="shared" si="36"/>
        <v>0</v>
      </c>
      <c r="G107" s="22">
        <f>G108+G110+G112+G114+G116</f>
        <v>1275.8000000000002</v>
      </c>
      <c r="H107" s="21">
        <f>H108+H110+H112+H114+H116</f>
        <v>1471.5795000000001</v>
      </c>
      <c r="I107" s="21">
        <f t="shared" si="24"/>
        <v>195.77949999999987</v>
      </c>
      <c r="J107" s="21">
        <f t="shared" si="25"/>
        <v>115.34562627371061</v>
      </c>
    </row>
    <row r="108" spans="1:10" ht="37.5">
      <c r="A108" s="7"/>
      <c r="B108" s="23" t="s">
        <v>125</v>
      </c>
      <c r="C108" s="17" t="s">
        <v>126</v>
      </c>
      <c r="D108" s="20"/>
      <c r="E108" s="21">
        <f t="shared" ref="E108:H108" si="37">E109</f>
        <v>160</v>
      </c>
      <c r="F108" s="21">
        <f t="shared" si="37"/>
        <v>0</v>
      </c>
      <c r="G108" s="22">
        <f t="shared" si="37"/>
        <v>1070.6000000000001</v>
      </c>
      <c r="H108" s="21">
        <f t="shared" si="37"/>
        <v>322.8</v>
      </c>
      <c r="I108" s="21">
        <f t="shared" si="24"/>
        <v>-747.80000000000018</v>
      </c>
      <c r="J108" s="21">
        <f t="shared" si="25"/>
        <v>30.1513170184943</v>
      </c>
    </row>
    <row r="109" spans="1:10" ht="37.5">
      <c r="A109" s="7"/>
      <c r="B109" s="23" t="s">
        <v>20</v>
      </c>
      <c r="C109" s="17" t="s">
        <v>126</v>
      </c>
      <c r="D109" s="20">
        <v>600</v>
      </c>
      <c r="E109" s="21">
        <v>160</v>
      </c>
      <c r="F109" s="21">
        <v>0</v>
      </c>
      <c r="G109" s="22">
        <f>1147.9-90+12.7</f>
        <v>1070.6000000000001</v>
      </c>
      <c r="H109" s="21">
        <v>322.8</v>
      </c>
      <c r="I109" s="21">
        <f t="shared" si="24"/>
        <v>-747.80000000000018</v>
      </c>
      <c r="J109" s="21">
        <f t="shared" si="25"/>
        <v>30.1513170184943</v>
      </c>
    </row>
    <row r="110" spans="1:10" ht="37.5">
      <c r="A110" s="7"/>
      <c r="B110" s="23" t="s">
        <v>127</v>
      </c>
      <c r="C110" s="17" t="s">
        <v>128</v>
      </c>
      <c r="D110" s="20"/>
      <c r="E110" s="21">
        <f t="shared" ref="E110:H110" si="38">E111</f>
        <v>100</v>
      </c>
      <c r="F110" s="21">
        <f t="shared" si="38"/>
        <v>0</v>
      </c>
      <c r="G110" s="22">
        <f t="shared" si="38"/>
        <v>57.3</v>
      </c>
      <c r="H110" s="21">
        <f t="shared" si="38"/>
        <v>35.479500000000002</v>
      </c>
      <c r="I110" s="21">
        <f t="shared" si="24"/>
        <v>-21.820499999999996</v>
      </c>
      <c r="J110" s="21">
        <f t="shared" si="25"/>
        <v>61.918848167539274</v>
      </c>
    </row>
    <row r="111" spans="1:10" ht="37.5">
      <c r="A111" s="7"/>
      <c r="B111" s="23" t="s">
        <v>20</v>
      </c>
      <c r="C111" s="17" t="s">
        <v>128</v>
      </c>
      <c r="D111" s="20">
        <v>600</v>
      </c>
      <c r="E111" s="21">
        <v>100</v>
      </c>
      <c r="F111" s="21">
        <v>0</v>
      </c>
      <c r="G111" s="22">
        <f>70-12.7</f>
        <v>57.3</v>
      </c>
      <c r="H111" s="21">
        <v>35.479500000000002</v>
      </c>
      <c r="I111" s="21">
        <f t="shared" si="24"/>
        <v>-21.820499999999996</v>
      </c>
      <c r="J111" s="21">
        <f t="shared" si="25"/>
        <v>61.918848167539274</v>
      </c>
    </row>
    <row r="112" spans="1:10" ht="56.25">
      <c r="A112" s="7"/>
      <c r="B112" s="23" t="s">
        <v>129</v>
      </c>
      <c r="C112" s="17" t="s">
        <v>130</v>
      </c>
      <c r="D112" s="20"/>
      <c r="E112" s="21">
        <f t="shared" ref="E112:H112" si="39">E113</f>
        <v>149.80000000000001</v>
      </c>
      <c r="F112" s="21">
        <f t="shared" si="39"/>
        <v>0</v>
      </c>
      <c r="G112" s="22">
        <f t="shared" si="39"/>
        <v>143.9</v>
      </c>
      <c r="H112" s="21">
        <f t="shared" si="39"/>
        <v>1103.2</v>
      </c>
      <c r="I112" s="21">
        <f t="shared" si="24"/>
        <v>959.30000000000007</v>
      </c>
      <c r="J112" s="21">
        <f t="shared" si="25"/>
        <v>766.64350243224465</v>
      </c>
    </row>
    <row r="113" spans="1:10" ht="37.5">
      <c r="A113" s="7"/>
      <c r="B113" s="23" t="s">
        <v>20</v>
      </c>
      <c r="C113" s="17" t="s">
        <v>130</v>
      </c>
      <c r="D113" s="20">
        <v>600</v>
      </c>
      <c r="E113" s="21">
        <v>149.80000000000001</v>
      </c>
      <c r="F113" s="21">
        <v>0</v>
      </c>
      <c r="G113" s="22">
        <v>143.9</v>
      </c>
      <c r="H113" s="21">
        <v>1103.2</v>
      </c>
      <c r="I113" s="21">
        <f t="shared" si="24"/>
        <v>959.30000000000007</v>
      </c>
      <c r="J113" s="21">
        <f t="shared" si="25"/>
        <v>766.64350243224465</v>
      </c>
    </row>
    <row r="114" spans="1:10" ht="37.5" hidden="1">
      <c r="A114" s="7"/>
      <c r="B114" s="23" t="s">
        <v>131</v>
      </c>
      <c r="C114" s="17" t="s">
        <v>132</v>
      </c>
      <c r="D114" s="20"/>
      <c r="E114" s="21"/>
      <c r="F114" s="21"/>
      <c r="G114" s="22">
        <f>G115</f>
        <v>0</v>
      </c>
      <c r="H114" s="21">
        <f>H115</f>
        <v>0</v>
      </c>
      <c r="I114" s="21">
        <f t="shared" si="24"/>
        <v>0</v>
      </c>
      <c r="J114" s="21" t="e">
        <f t="shared" si="25"/>
        <v>#DIV/0!</v>
      </c>
    </row>
    <row r="115" spans="1:10" ht="37.5" hidden="1">
      <c r="A115" s="7"/>
      <c r="B115" s="23" t="s">
        <v>20</v>
      </c>
      <c r="C115" s="17" t="s">
        <v>132</v>
      </c>
      <c r="D115" s="20">
        <v>600</v>
      </c>
      <c r="E115" s="21"/>
      <c r="F115" s="21"/>
      <c r="G115" s="22"/>
      <c r="H115" s="21"/>
      <c r="I115" s="21">
        <f t="shared" si="24"/>
        <v>0</v>
      </c>
      <c r="J115" s="21" t="e">
        <f t="shared" si="25"/>
        <v>#DIV/0!</v>
      </c>
    </row>
    <row r="116" spans="1:10" ht="18.75">
      <c r="A116" s="7"/>
      <c r="B116" s="23" t="s">
        <v>133</v>
      </c>
      <c r="C116" s="17" t="s">
        <v>134</v>
      </c>
      <c r="D116" s="20"/>
      <c r="E116" s="21"/>
      <c r="F116" s="21"/>
      <c r="G116" s="22">
        <f>G117</f>
        <v>4</v>
      </c>
      <c r="H116" s="21">
        <f>H117</f>
        <v>10.1</v>
      </c>
      <c r="I116" s="21">
        <f t="shared" si="24"/>
        <v>6.1</v>
      </c>
      <c r="J116" s="21">
        <f t="shared" si="25"/>
        <v>252.5</v>
      </c>
    </row>
    <row r="117" spans="1:10" ht="37.5">
      <c r="A117" s="7"/>
      <c r="B117" s="23" t="s">
        <v>20</v>
      </c>
      <c r="C117" s="17" t="s">
        <v>134</v>
      </c>
      <c r="D117" s="20">
        <v>600</v>
      </c>
      <c r="E117" s="21"/>
      <c r="F117" s="21"/>
      <c r="G117" s="22">
        <v>4</v>
      </c>
      <c r="H117" s="21">
        <v>10.1</v>
      </c>
      <c r="I117" s="21">
        <f t="shared" si="24"/>
        <v>6.1</v>
      </c>
      <c r="J117" s="21">
        <f t="shared" si="25"/>
        <v>252.5</v>
      </c>
    </row>
    <row r="118" spans="1:10" ht="60" customHeight="1">
      <c r="A118" s="7"/>
      <c r="B118" s="23" t="s">
        <v>41</v>
      </c>
      <c r="C118" s="17" t="s">
        <v>135</v>
      </c>
      <c r="D118" s="20"/>
      <c r="E118" s="21">
        <f>E119</f>
        <v>0</v>
      </c>
      <c r="F118" s="21">
        <f t="shared" ref="F118:H118" si="40">F119</f>
        <v>350</v>
      </c>
      <c r="G118" s="22">
        <f t="shared" si="40"/>
        <v>460</v>
      </c>
      <c r="H118" s="21">
        <f t="shared" si="40"/>
        <v>337</v>
      </c>
      <c r="I118" s="21">
        <f t="shared" si="24"/>
        <v>-123</v>
      </c>
      <c r="J118" s="21">
        <f t="shared" si="25"/>
        <v>73.260869565217391</v>
      </c>
    </row>
    <row r="119" spans="1:10" ht="19.5" customHeight="1">
      <c r="A119" s="7"/>
      <c r="B119" s="23" t="s">
        <v>46</v>
      </c>
      <c r="C119" s="17" t="s">
        <v>136</v>
      </c>
      <c r="D119" s="20"/>
      <c r="E119" s="21">
        <f t="shared" ref="E119:H119" si="41">E120</f>
        <v>0</v>
      </c>
      <c r="F119" s="21">
        <f t="shared" si="41"/>
        <v>350</v>
      </c>
      <c r="G119" s="22">
        <f t="shared" si="41"/>
        <v>460</v>
      </c>
      <c r="H119" s="21">
        <f t="shared" si="41"/>
        <v>337</v>
      </c>
      <c r="I119" s="21">
        <f t="shared" si="24"/>
        <v>-123</v>
      </c>
      <c r="J119" s="21">
        <f t="shared" si="25"/>
        <v>73.260869565217391</v>
      </c>
    </row>
    <row r="120" spans="1:10" ht="38.25" customHeight="1">
      <c r="A120" s="7"/>
      <c r="B120" s="23" t="s">
        <v>20</v>
      </c>
      <c r="C120" s="17" t="s">
        <v>136</v>
      </c>
      <c r="D120" s="20">
        <v>600</v>
      </c>
      <c r="E120" s="21"/>
      <c r="F120" s="21">
        <v>350</v>
      </c>
      <c r="G120" s="22">
        <f>570-110</f>
        <v>460</v>
      </c>
      <c r="H120" s="21">
        <v>337</v>
      </c>
      <c r="I120" s="21">
        <f t="shared" si="24"/>
        <v>-123</v>
      </c>
      <c r="J120" s="21">
        <f t="shared" si="25"/>
        <v>73.260869565217391</v>
      </c>
    </row>
    <row r="121" spans="1:10" ht="37.5" hidden="1">
      <c r="A121" s="7"/>
      <c r="B121" s="23" t="s">
        <v>137</v>
      </c>
      <c r="C121" s="17" t="s">
        <v>138</v>
      </c>
      <c r="D121" s="20"/>
      <c r="E121" s="21"/>
      <c r="F121" s="21"/>
      <c r="G121" s="22">
        <f>G122</f>
        <v>0</v>
      </c>
      <c r="H121" s="21">
        <f>H122</f>
        <v>0</v>
      </c>
      <c r="I121" s="21">
        <f t="shared" si="24"/>
        <v>0</v>
      </c>
      <c r="J121" s="21" t="e">
        <f t="shared" si="25"/>
        <v>#DIV/0!</v>
      </c>
    </row>
    <row r="122" spans="1:10" ht="56.25" hidden="1">
      <c r="A122" s="7"/>
      <c r="B122" s="23" t="s">
        <v>139</v>
      </c>
      <c r="C122" s="17" t="s">
        <v>140</v>
      </c>
      <c r="D122" s="20"/>
      <c r="E122" s="21"/>
      <c r="F122" s="21"/>
      <c r="G122" s="22">
        <f>G123</f>
        <v>0</v>
      </c>
      <c r="H122" s="21">
        <f>H123</f>
        <v>0</v>
      </c>
      <c r="I122" s="21">
        <f t="shared" si="24"/>
        <v>0</v>
      </c>
      <c r="J122" s="21" t="e">
        <f t="shared" si="25"/>
        <v>#DIV/0!</v>
      </c>
    </row>
    <row r="123" spans="1:10" ht="37.5" hidden="1">
      <c r="A123" s="7"/>
      <c r="B123" s="23" t="s">
        <v>20</v>
      </c>
      <c r="C123" s="17" t="s">
        <v>140</v>
      </c>
      <c r="D123" s="20">
        <v>600</v>
      </c>
      <c r="E123" s="21"/>
      <c r="F123" s="21"/>
      <c r="G123" s="22"/>
      <c r="H123" s="21"/>
      <c r="I123" s="21">
        <f t="shared" si="24"/>
        <v>0</v>
      </c>
      <c r="J123" s="21" t="e">
        <f t="shared" si="25"/>
        <v>#DIV/0!</v>
      </c>
    </row>
    <row r="124" spans="1:10" ht="37.5">
      <c r="A124" s="7"/>
      <c r="B124" s="23" t="s">
        <v>141</v>
      </c>
      <c r="C124" s="17" t="s">
        <v>142</v>
      </c>
      <c r="D124" s="20" t="s">
        <v>15</v>
      </c>
      <c r="E124" s="21">
        <f t="shared" ref="E124:F124" si="42">E125+E130+E135</f>
        <v>16224.800000000001</v>
      </c>
      <c r="F124" s="21">
        <f t="shared" si="42"/>
        <v>0</v>
      </c>
      <c r="G124" s="22">
        <f t="shared" ref="G124" si="43">G125+G130+G135</f>
        <v>24566.286</v>
      </c>
      <c r="H124" s="21">
        <f t="shared" ref="H124" si="44">H125+H130+H135</f>
        <v>14138.86285</v>
      </c>
      <c r="I124" s="21">
        <f t="shared" si="24"/>
        <v>-10427.423150000001</v>
      </c>
      <c r="J124" s="21">
        <f t="shared" si="25"/>
        <v>57.553929193855346</v>
      </c>
    </row>
    <row r="125" spans="1:10" ht="37.5">
      <c r="A125" s="7"/>
      <c r="B125" s="23" t="s">
        <v>143</v>
      </c>
      <c r="C125" s="17" t="s">
        <v>144</v>
      </c>
      <c r="D125" s="20"/>
      <c r="E125" s="21">
        <f t="shared" ref="E125:H125" si="45">E126</f>
        <v>5558.4</v>
      </c>
      <c r="F125" s="21">
        <f t="shared" si="45"/>
        <v>0</v>
      </c>
      <c r="G125" s="22">
        <f t="shared" si="45"/>
        <v>6626.6250000000009</v>
      </c>
      <c r="H125" s="21">
        <f t="shared" si="45"/>
        <v>4093.8314</v>
      </c>
      <c r="I125" s="21">
        <f t="shared" si="24"/>
        <v>-2532.7936000000009</v>
      </c>
      <c r="J125" s="21">
        <f t="shared" si="25"/>
        <v>61.778528285514867</v>
      </c>
    </row>
    <row r="126" spans="1:10" ht="18.75">
      <c r="A126" s="7"/>
      <c r="B126" s="23" t="s">
        <v>145</v>
      </c>
      <c r="C126" s="17" t="s">
        <v>146</v>
      </c>
      <c r="D126" s="20" t="s">
        <v>15</v>
      </c>
      <c r="E126" s="21">
        <f t="shared" ref="E126:F126" si="46">E127+E128+E129</f>
        <v>5558.4</v>
      </c>
      <c r="F126" s="21">
        <f t="shared" si="46"/>
        <v>0</v>
      </c>
      <c r="G126" s="22">
        <f t="shared" ref="G126" si="47">G127+G128+G129</f>
        <v>6626.6250000000009</v>
      </c>
      <c r="H126" s="21">
        <f t="shared" ref="H126" si="48">H127+H128+H129</f>
        <v>4093.8314</v>
      </c>
      <c r="I126" s="21">
        <f t="shared" si="24"/>
        <v>-2532.7936000000009</v>
      </c>
      <c r="J126" s="21">
        <f t="shared" si="25"/>
        <v>61.778528285514867</v>
      </c>
    </row>
    <row r="127" spans="1:10" ht="59.25" customHeight="1">
      <c r="A127" s="7"/>
      <c r="B127" s="23" t="s">
        <v>147</v>
      </c>
      <c r="C127" s="17" t="s">
        <v>146</v>
      </c>
      <c r="D127" s="20" t="s">
        <v>148</v>
      </c>
      <c r="E127" s="21">
        <v>4775.8999999999996</v>
      </c>
      <c r="F127" s="21"/>
      <c r="G127" s="22">
        <v>5344.7250000000004</v>
      </c>
      <c r="H127" s="21">
        <v>3195.4110999999998</v>
      </c>
      <c r="I127" s="21">
        <f t="shared" si="24"/>
        <v>-2149.3139000000006</v>
      </c>
      <c r="J127" s="21">
        <f t="shared" si="25"/>
        <v>59.786258413669543</v>
      </c>
    </row>
    <row r="128" spans="1:10" ht="37.5">
      <c r="A128" s="7"/>
      <c r="B128" s="23" t="s">
        <v>32</v>
      </c>
      <c r="C128" s="17" t="s">
        <v>146</v>
      </c>
      <c r="D128" s="20" t="s">
        <v>149</v>
      </c>
      <c r="E128" s="21">
        <v>756.4</v>
      </c>
      <c r="F128" s="21"/>
      <c r="G128" s="22">
        <v>1262.0999999999999</v>
      </c>
      <c r="H128" s="21">
        <v>884.96185000000003</v>
      </c>
      <c r="I128" s="21">
        <f t="shared" si="24"/>
        <v>-377.13814999999988</v>
      </c>
      <c r="J128" s="21">
        <f t="shared" si="25"/>
        <v>70.118203787338572</v>
      </c>
    </row>
    <row r="129" spans="1:10" ht="18.75">
      <c r="A129" s="7"/>
      <c r="B129" s="23" t="s">
        <v>121</v>
      </c>
      <c r="C129" s="17" t="s">
        <v>146</v>
      </c>
      <c r="D129" s="20" t="s">
        <v>150</v>
      </c>
      <c r="E129" s="21">
        <v>26.1</v>
      </c>
      <c r="F129" s="21"/>
      <c r="G129" s="22">
        <f>18.7+1.1</f>
        <v>19.8</v>
      </c>
      <c r="H129" s="21">
        <v>13.458449999999999</v>
      </c>
      <c r="I129" s="21">
        <f t="shared" si="24"/>
        <v>-6.3415500000000016</v>
      </c>
      <c r="J129" s="21">
        <f t="shared" si="25"/>
        <v>67.971969696969694</v>
      </c>
    </row>
    <row r="130" spans="1:10" ht="56.25">
      <c r="A130" s="7"/>
      <c r="B130" s="23" t="s">
        <v>151</v>
      </c>
      <c r="C130" s="17" t="s">
        <v>152</v>
      </c>
      <c r="D130" s="20"/>
      <c r="E130" s="21">
        <f t="shared" ref="E130:H130" si="49">E131</f>
        <v>9122.8000000000011</v>
      </c>
      <c r="F130" s="21">
        <f t="shared" si="49"/>
        <v>0</v>
      </c>
      <c r="G130" s="22">
        <f t="shared" si="49"/>
        <v>13931.252999999999</v>
      </c>
      <c r="H130" s="21">
        <f t="shared" si="49"/>
        <v>7769.7419300000001</v>
      </c>
      <c r="I130" s="21">
        <f t="shared" si="24"/>
        <v>-6161.5110699999987</v>
      </c>
      <c r="J130" s="21">
        <f t="shared" si="25"/>
        <v>55.772025172466542</v>
      </c>
    </row>
    <row r="131" spans="1:10" ht="37.5">
      <c r="A131" s="7"/>
      <c r="B131" s="23" t="s">
        <v>153</v>
      </c>
      <c r="C131" s="17" t="s">
        <v>154</v>
      </c>
      <c r="D131" s="20"/>
      <c r="E131" s="21">
        <f t="shared" ref="E131:F131" si="50">E132+E133+E134</f>
        <v>9122.8000000000011</v>
      </c>
      <c r="F131" s="21">
        <f t="shared" si="50"/>
        <v>0</v>
      </c>
      <c r="G131" s="22">
        <f t="shared" ref="G131" si="51">G132+G133+G134</f>
        <v>13931.252999999999</v>
      </c>
      <c r="H131" s="21">
        <f t="shared" ref="H131" si="52">H132+H133+H134</f>
        <v>7769.7419300000001</v>
      </c>
      <c r="I131" s="21">
        <f t="shared" si="24"/>
        <v>-6161.5110699999987</v>
      </c>
      <c r="J131" s="21">
        <f t="shared" si="25"/>
        <v>55.772025172466542</v>
      </c>
    </row>
    <row r="132" spans="1:10" ht="60.75" customHeight="1">
      <c r="A132" s="7"/>
      <c r="B132" s="23" t="s">
        <v>147</v>
      </c>
      <c r="C132" s="17" t="s">
        <v>154</v>
      </c>
      <c r="D132" s="20">
        <v>100</v>
      </c>
      <c r="E132" s="21">
        <v>8546.1</v>
      </c>
      <c r="F132" s="21"/>
      <c r="G132" s="22">
        <v>12710.3</v>
      </c>
      <c r="H132" s="21">
        <v>6692.8222500000002</v>
      </c>
      <c r="I132" s="21">
        <f t="shared" si="24"/>
        <v>-6017.4777499999991</v>
      </c>
      <c r="J132" s="21">
        <f t="shared" si="25"/>
        <v>52.656681982329303</v>
      </c>
    </row>
    <row r="133" spans="1:10" ht="37.5">
      <c r="A133" s="7"/>
      <c r="B133" s="23" t="s">
        <v>32</v>
      </c>
      <c r="C133" s="17" t="s">
        <v>154</v>
      </c>
      <c r="D133" s="20">
        <v>200</v>
      </c>
      <c r="E133" s="21">
        <v>575.70000000000005</v>
      </c>
      <c r="F133" s="21"/>
      <c r="G133" s="21">
        <f>1147.6+73.353</f>
        <v>1220.953</v>
      </c>
      <c r="H133" s="21">
        <v>1076.91968</v>
      </c>
      <c r="I133" s="21">
        <f t="shared" si="24"/>
        <v>-144.03332</v>
      </c>
      <c r="J133" s="21">
        <f t="shared" si="25"/>
        <v>88.20320520118301</v>
      </c>
    </row>
    <row r="134" spans="1:10" ht="18.75" hidden="1">
      <c r="A134" s="7"/>
      <c r="B134" s="23" t="s">
        <v>121</v>
      </c>
      <c r="C134" s="17" t="s">
        <v>154</v>
      </c>
      <c r="D134" s="20">
        <v>800</v>
      </c>
      <c r="E134" s="21">
        <v>1</v>
      </c>
      <c r="F134" s="21"/>
      <c r="G134" s="22">
        <f>0.5-0.5</f>
        <v>0</v>
      </c>
      <c r="H134" s="21">
        <v>0</v>
      </c>
      <c r="I134" s="21">
        <f t="shared" si="24"/>
        <v>0</v>
      </c>
      <c r="J134" s="21" t="e">
        <f t="shared" si="25"/>
        <v>#DIV/0!</v>
      </c>
    </row>
    <row r="135" spans="1:10" ht="56.25">
      <c r="A135" s="7"/>
      <c r="B135" s="23" t="s">
        <v>155</v>
      </c>
      <c r="C135" s="17" t="s">
        <v>156</v>
      </c>
      <c r="D135" s="20"/>
      <c r="E135" s="21">
        <f t="shared" ref="E135:H135" si="53">E136</f>
        <v>1543.6</v>
      </c>
      <c r="F135" s="21">
        <f t="shared" si="53"/>
        <v>0</v>
      </c>
      <c r="G135" s="22">
        <f t="shared" si="53"/>
        <v>4008.4079999999999</v>
      </c>
      <c r="H135" s="21">
        <f t="shared" si="53"/>
        <v>2275.2895199999998</v>
      </c>
      <c r="I135" s="21">
        <f t="shared" si="24"/>
        <v>-1733.1184800000001</v>
      </c>
      <c r="J135" s="21">
        <f t="shared" si="25"/>
        <v>56.762922337247105</v>
      </c>
    </row>
    <row r="136" spans="1:10" ht="37.5">
      <c r="A136" s="7"/>
      <c r="B136" s="23" t="s">
        <v>153</v>
      </c>
      <c r="C136" s="17" t="s">
        <v>157</v>
      </c>
      <c r="D136" s="20"/>
      <c r="E136" s="21">
        <f t="shared" ref="E136:F136" si="54">E137+E138+E139</f>
        <v>1543.6</v>
      </c>
      <c r="F136" s="21">
        <f t="shared" si="54"/>
        <v>0</v>
      </c>
      <c r="G136" s="22">
        <f t="shared" ref="G136" si="55">G137+G138+G139</f>
        <v>4008.4079999999999</v>
      </c>
      <c r="H136" s="21">
        <f t="shared" ref="H136" si="56">H137+H138+H139</f>
        <v>2275.2895199999998</v>
      </c>
      <c r="I136" s="21">
        <f t="shared" si="24"/>
        <v>-1733.1184800000001</v>
      </c>
      <c r="J136" s="21">
        <f t="shared" si="25"/>
        <v>56.762922337247105</v>
      </c>
    </row>
    <row r="137" spans="1:10" ht="57.75" customHeight="1">
      <c r="A137" s="7"/>
      <c r="B137" s="23" t="s">
        <v>147</v>
      </c>
      <c r="C137" s="17" t="s">
        <v>157</v>
      </c>
      <c r="D137" s="20">
        <v>100</v>
      </c>
      <c r="E137" s="21">
        <v>1476.8</v>
      </c>
      <c r="F137" s="21"/>
      <c r="G137" s="22">
        <f>4489.308-600</f>
        <v>3889.308</v>
      </c>
      <c r="H137" s="21">
        <v>2088.2225100000001</v>
      </c>
      <c r="I137" s="21">
        <f t="shared" si="24"/>
        <v>-1801.0854899999999</v>
      </c>
      <c r="J137" s="21">
        <f t="shared" si="25"/>
        <v>53.69136386215748</v>
      </c>
    </row>
    <row r="138" spans="1:10" ht="37.5">
      <c r="A138" s="7"/>
      <c r="B138" s="23" t="s">
        <v>32</v>
      </c>
      <c r="C138" s="17" t="s">
        <v>157</v>
      </c>
      <c r="D138" s="20">
        <v>200</v>
      </c>
      <c r="E138" s="21">
        <v>65.7</v>
      </c>
      <c r="F138" s="21"/>
      <c r="G138" s="22">
        <v>119.1</v>
      </c>
      <c r="H138" s="21">
        <v>187.05627999999999</v>
      </c>
      <c r="I138" s="21">
        <f t="shared" si="24"/>
        <v>67.956279999999992</v>
      </c>
      <c r="J138" s="21">
        <f t="shared" si="25"/>
        <v>157.05816960537362</v>
      </c>
    </row>
    <row r="139" spans="1:10" ht="18.75">
      <c r="A139" s="7"/>
      <c r="B139" s="23" t="s">
        <v>121</v>
      </c>
      <c r="C139" s="17" t="s">
        <v>157</v>
      </c>
      <c r="D139" s="20">
        <v>800</v>
      </c>
      <c r="E139" s="21">
        <v>1.1000000000000001</v>
      </c>
      <c r="F139" s="21"/>
      <c r="G139" s="22">
        <f>0.6-0.6</f>
        <v>0</v>
      </c>
      <c r="H139" s="21">
        <v>1.073E-2</v>
      </c>
      <c r="I139" s="21">
        <f t="shared" si="24"/>
        <v>1.073E-2</v>
      </c>
      <c r="J139" s="21" t="e">
        <f t="shared" si="25"/>
        <v>#DIV/0!</v>
      </c>
    </row>
    <row r="140" spans="1:10" ht="37.5">
      <c r="A140" s="11">
        <v>2</v>
      </c>
      <c r="B140" s="12" t="s">
        <v>158</v>
      </c>
      <c r="C140" s="13" t="s">
        <v>159</v>
      </c>
      <c r="D140" s="14" t="s">
        <v>15</v>
      </c>
      <c r="E140" s="15">
        <f>E141+E173+E197+E220+E237</f>
        <v>85991.5</v>
      </c>
      <c r="F140" s="15">
        <f>F141+F173+F197+F220+F237</f>
        <v>29891.8</v>
      </c>
      <c r="G140" s="29">
        <f>G141+G173+G197+G220+G237</f>
        <v>141515.80638000002</v>
      </c>
      <c r="H140" s="15">
        <f>H141+H173+H197+H220+H237</f>
        <v>82020.339129999993</v>
      </c>
      <c r="I140" s="15">
        <f t="shared" si="24"/>
        <v>-59495.467250000031</v>
      </c>
      <c r="J140" s="15">
        <f t="shared" si="25"/>
        <v>57.958429682234893</v>
      </c>
    </row>
    <row r="141" spans="1:10" ht="25.5" customHeight="1">
      <c r="A141" s="7"/>
      <c r="B141" s="16" t="s">
        <v>160</v>
      </c>
      <c r="C141" s="17" t="s">
        <v>161</v>
      </c>
      <c r="D141" s="20" t="s">
        <v>15</v>
      </c>
      <c r="E141" s="21">
        <f>E142+E145+E149+E154+E156+E159</f>
        <v>32401</v>
      </c>
      <c r="F141" s="21">
        <f t="shared" ref="F141" si="57">F142+F145+F149+F154+F156+F159</f>
        <v>2780.4</v>
      </c>
      <c r="G141" s="22">
        <f>G142+G149+G154+G156+G159+G144+G165+G163+G168</f>
        <v>64960.818330000009</v>
      </c>
      <c r="H141" s="21">
        <f>H142+H145+H149+H154+H156+H159+H169+H147+H166+H163+H171</f>
        <v>42347.192280000003</v>
      </c>
      <c r="I141" s="21">
        <f t="shared" si="24"/>
        <v>-22613.626050000006</v>
      </c>
      <c r="J141" s="21">
        <f t="shared" si="25"/>
        <v>65.188822075603909</v>
      </c>
    </row>
    <row r="142" spans="1:10" ht="33" customHeight="1">
      <c r="A142" s="7"/>
      <c r="B142" s="23" t="s">
        <v>162</v>
      </c>
      <c r="C142" s="17" t="s">
        <v>163</v>
      </c>
      <c r="D142" s="20"/>
      <c r="E142" s="21">
        <f>E143</f>
        <v>942.9</v>
      </c>
      <c r="F142" s="21">
        <f t="shared" ref="F142:H142" si="58">F143</f>
        <v>0</v>
      </c>
      <c r="G142" s="22">
        <f t="shared" si="58"/>
        <v>1729.2842800000001</v>
      </c>
      <c r="H142" s="21">
        <f t="shared" si="58"/>
        <v>3077.48522</v>
      </c>
      <c r="I142" s="21">
        <f t="shared" si="24"/>
        <v>1348.2009399999999</v>
      </c>
      <c r="J142" s="21">
        <f t="shared" si="25"/>
        <v>177.96294429970763</v>
      </c>
    </row>
    <row r="143" spans="1:10" ht="37.5">
      <c r="A143" s="7"/>
      <c r="B143" s="23" t="s">
        <v>20</v>
      </c>
      <c r="C143" s="17" t="s">
        <v>163</v>
      </c>
      <c r="D143" s="20">
        <v>600</v>
      </c>
      <c r="E143" s="21">
        <v>942.9</v>
      </c>
      <c r="F143" s="21"/>
      <c r="G143" s="22">
        <v>1729.2842800000001</v>
      </c>
      <c r="H143" s="21">
        <v>3077.48522</v>
      </c>
      <c r="I143" s="21">
        <f t="shared" ref="I143:I212" si="59">H143-G143</f>
        <v>1348.2009399999999</v>
      </c>
      <c r="J143" s="21">
        <f t="shared" ref="J143:J212" si="60">H143/G143*100</f>
        <v>177.96294429970763</v>
      </c>
    </row>
    <row r="144" spans="1:10" ht="61.5" customHeight="1">
      <c r="A144" s="7"/>
      <c r="B144" s="23" t="s">
        <v>164</v>
      </c>
      <c r="C144" s="17" t="s">
        <v>165</v>
      </c>
      <c r="D144" s="20"/>
      <c r="E144" s="21"/>
      <c r="F144" s="21"/>
      <c r="G144" s="22">
        <f>G145+G147</f>
        <v>4325.3420000000006</v>
      </c>
      <c r="H144" s="21"/>
      <c r="I144" s="21"/>
      <c r="J144" s="21"/>
    </row>
    <row r="145" spans="1:10" ht="78.75" customHeight="1">
      <c r="A145" s="7"/>
      <c r="B145" s="23" t="s">
        <v>164</v>
      </c>
      <c r="C145" s="17" t="s">
        <v>166</v>
      </c>
      <c r="D145" s="20" t="s">
        <v>15</v>
      </c>
      <c r="E145" s="21">
        <f>E146</f>
        <v>4360</v>
      </c>
      <c r="F145" s="21">
        <f>F146</f>
        <v>0</v>
      </c>
      <c r="G145" s="22">
        <f>G146</f>
        <v>3782.1420000000003</v>
      </c>
      <c r="H145" s="21">
        <f>H146</f>
        <v>6268.4759999999997</v>
      </c>
      <c r="I145" s="21">
        <f t="shared" si="59"/>
        <v>2486.3339999999994</v>
      </c>
      <c r="J145" s="21">
        <f t="shared" si="60"/>
        <v>165.73877977082824</v>
      </c>
    </row>
    <row r="146" spans="1:10" ht="37.5">
      <c r="A146" s="7"/>
      <c r="B146" s="23" t="s">
        <v>20</v>
      </c>
      <c r="C146" s="17" t="s">
        <v>166</v>
      </c>
      <c r="D146" s="20">
        <v>600</v>
      </c>
      <c r="E146" s="21">
        <v>4360</v>
      </c>
      <c r="F146" s="21"/>
      <c r="G146" s="22">
        <f>3542.3+239.842</f>
        <v>3782.1420000000003</v>
      </c>
      <c r="H146" s="21">
        <v>6268.4759999999997</v>
      </c>
      <c r="I146" s="21">
        <f t="shared" si="59"/>
        <v>2486.3339999999994</v>
      </c>
      <c r="J146" s="21">
        <f t="shared" si="60"/>
        <v>165.73877977082824</v>
      </c>
    </row>
    <row r="147" spans="1:10" ht="56.25">
      <c r="A147" s="7"/>
      <c r="B147" s="23" t="s">
        <v>167</v>
      </c>
      <c r="C147" s="17" t="s">
        <v>168</v>
      </c>
      <c r="D147" s="20"/>
      <c r="E147" s="21"/>
      <c r="F147" s="21"/>
      <c r="G147" s="22">
        <f>G148</f>
        <v>543.20000000000005</v>
      </c>
      <c r="H147" s="21">
        <f>H148</f>
        <v>571.5</v>
      </c>
      <c r="I147" s="21">
        <f t="shared" si="59"/>
        <v>28.299999999999955</v>
      </c>
      <c r="J147" s="21">
        <f t="shared" si="60"/>
        <v>105.20986745213547</v>
      </c>
    </row>
    <row r="148" spans="1:10" ht="37.5">
      <c r="A148" s="7"/>
      <c r="B148" s="23" t="s">
        <v>20</v>
      </c>
      <c r="C148" s="17" t="s">
        <v>168</v>
      </c>
      <c r="D148" s="20">
        <v>600</v>
      </c>
      <c r="E148" s="21"/>
      <c r="F148" s="21"/>
      <c r="G148" s="22">
        <v>543.20000000000005</v>
      </c>
      <c r="H148" s="21">
        <v>571.5</v>
      </c>
      <c r="I148" s="21">
        <f t="shared" si="59"/>
        <v>28.299999999999955</v>
      </c>
      <c r="J148" s="21">
        <f t="shared" si="60"/>
        <v>105.20986745213547</v>
      </c>
    </row>
    <row r="149" spans="1:10" ht="22.5" customHeight="1">
      <c r="A149" s="7"/>
      <c r="B149" s="23" t="s">
        <v>33</v>
      </c>
      <c r="C149" s="17" t="s">
        <v>169</v>
      </c>
      <c r="D149" s="20"/>
      <c r="E149" s="21">
        <f>E150+E152</f>
        <v>27078.1</v>
      </c>
      <c r="F149" s="21">
        <f t="shared" ref="F149" si="61">F150+F152</f>
        <v>2204.1999999999998</v>
      </c>
      <c r="G149" s="22">
        <f t="shared" ref="G149" si="62">G150+G152</f>
        <v>58328.409050000002</v>
      </c>
      <c r="H149" s="21">
        <f t="shared" ref="H149" si="63">H150+H152</f>
        <v>31779.519059999999</v>
      </c>
      <c r="I149" s="21">
        <f t="shared" si="59"/>
        <v>-26548.889990000003</v>
      </c>
      <c r="J149" s="21">
        <f t="shared" si="60"/>
        <v>54.483774849333045</v>
      </c>
    </row>
    <row r="150" spans="1:10" ht="37.5">
      <c r="A150" s="7"/>
      <c r="B150" s="23" t="s">
        <v>35</v>
      </c>
      <c r="C150" s="17" t="s">
        <v>170</v>
      </c>
      <c r="D150" s="20" t="s">
        <v>15</v>
      </c>
      <c r="E150" s="21">
        <f t="shared" ref="E150:H150" si="64">E151</f>
        <v>26962.1</v>
      </c>
      <c r="F150" s="21">
        <f t="shared" si="64"/>
        <v>0</v>
      </c>
      <c r="G150" s="22">
        <f t="shared" si="64"/>
        <v>56856.709049999998</v>
      </c>
      <c r="H150" s="21">
        <f t="shared" si="64"/>
        <v>30125.51946</v>
      </c>
      <c r="I150" s="21">
        <f t="shared" si="59"/>
        <v>-26731.189589999998</v>
      </c>
      <c r="J150" s="21">
        <f t="shared" si="60"/>
        <v>52.984986228287511</v>
      </c>
    </row>
    <row r="151" spans="1:10" ht="37.5">
      <c r="A151" s="7"/>
      <c r="B151" s="23" t="s">
        <v>20</v>
      </c>
      <c r="C151" s="17" t="s">
        <v>170</v>
      </c>
      <c r="D151" s="20" t="s">
        <v>21</v>
      </c>
      <c r="E151" s="21">
        <f>29282.3-2204.2-116</f>
        <v>26962.1</v>
      </c>
      <c r="F151" s="21"/>
      <c r="G151" s="22">
        <v>56856.709049999998</v>
      </c>
      <c r="H151" s="21">
        <v>30125.51946</v>
      </c>
      <c r="I151" s="21">
        <f t="shared" si="59"/>
        <v>-26731.189589999998</v>
      </c>
      <c r="J151" s="21">
        <f t="shared" si="60"/>
        <v>52.984986228287511</v>
      </c>
    </row>
    <row r="152" spans="1:10" ht="37.5">
      <c r="A152" s="7"/>
      <c r="B152" s="23" t="s">
        <v>39</v>
      </c>
      <c r="C152" s="17" t="s">
        <v>171</v>
      </c>
      <c r="D152" s="20"/>
      <c r="E152" s="21">
        <f t="shared" ref="E152:H152" si="65">E153</f>
        <v>116</v>
      </c>
      <c r="F152" s="21">
        <f t="shared" si="65"/>
        <v>2204.1999999999998</v>
      </c>
      <c r="G152" s="22">
        <f t="shared" si="65"/>
        <v>1471.7</v>
      </c>
      <c r="H152" s="21">
        <f t="shared" si="65"/>
        <v>1653.9996000000001</v>
      </c>
      <c r="I152" s="21">
        <f t="shared" si="59"/>
        <v>182.29960000000005</v>
      </c>
      <c r="J152" s="21">
        <f t="shared" si="60"/>
        <v>112.38700822178433</v>
      </c>
    </row>
    <row r="153" spans="1:10" ht="37.5">
      <c r="A153" s="7"/>
      <c r="B153" s="23" t="s">
        <v>20</v>
      </c>
      <c r="C153" s="17" t="s">
        <v>171</v>
      </c>
      <c r="D153" s="20">
        <v>600</v>
      </c>
      <c r="E153" s="21">
        <v>116</v>
      </c>
      <c r="F153" s="21">
        <v>2204.1999999999998</v>
      </c>
      <c r="G153" s="22">
        <v>1471.7</v>
      </c>
      <c r="H153" s="21">
        <v>1653.9996000000001</v>
      </c>
      <c r="I153" s="21">
        <f t="shared" si="59"/>
        <v>182.29960000000005</v>
      </c>
      <c r="J153" s="21">
        <f t="shared" si="60"/>
        <v>112.38700822178433</v>
      </c>
    </row>
    <row r="154" spans="1:10" ht="37.5">
      <c r="A154" s="7"/>
      <c r="B154" s="30" t="s">
        <v>172</v>
      </c>
      <c r="C154" s="17" t="s">
        <v>173</v>
      </c>
      <c r="D154" s="20"/>
      <c r="E154" s="21">
        <f t="shared" ref="E154:H154" si="66">E155</f>
        <v>20</v>
      </c>
      <c r="F154" s="21">
        <f t="shared" si="66"/>
        <v>0</v>
      </c>
      <c r="G154" s="22">
        <f t="shared" si="66"/>
        <v>50</v>
      </c>
      <c r="H154" s="21">
        <f t="shared" si="66"/>
        <v>18.75</v>
      </c>
      <c r="I154" s="21">
        <f t="shared" si="59"/>
        <v>-31.25</v>
      </c>
      <c r="J154" s="21">
        <f t="shared" si="60"/>
        <v>37.5</v>
      </c>
    </row>
    <row r="155" spans="1:10" ht="37.5">
      <c r="A155" s="7"/>
      <c r="B155" s="23" t="s">
        <v>20</v>
      </c>
      <c r="C155" s="17" t="s">
        <v>173</v>
      </c>
      <c r="D155" s="20">
        <v>600</v>
      </c>
      <c r="E155" s="21">
        <v>20</v>
      </c>
      <c r="F155" s="21"/>
      <c r="G155" s="22">
        <v>50</v>
      </c>
      <c r="H155" s="21">
        <v>18.75</v>
      </c>
      <c r="I155" s="21">
        <f t="shared" si="59"/>
        <v>-31.25</v>
      </c>
      <c r="J155" s="21">
        <f t="shared" si="60"/>
        <v>37.5</v>
      </c>
    </row>
    <row r="156" spans="1:10" ht="59.25" customHeight="1">
      <c r="A156" s="7"/>
      <c r="B156" s="23" t="s">
        <v>41</v>
      </c>
      <c r="C156" s="17" t="s">
        <v>174</v>
      </c>
      <c r="D156" s="20"/>
      <c r="E156" s="21">
        <f>E157</f>
        <v>0</v>
      </c>
      <c r="F156" s="21">
        <f t="shared" ref="F156:H156" si="67">F157</f>
        <v>526.20000000000005</v>
      </c>
      <c r="G156" s="22">
        <f t="shared" si="67"/>
        <v>467.625</v>
      </c>
      <c r="H156" s="21">
        <f t="shared" si="67"/>
        <v>428.06200000000001</v>
      </c>
      <c r="I156" s="21">
        <f t="shared" si="59"/>
        <v>-39.562999999999988</v>
      </c>
      <c r="J156" s="21">
        <f t="shared" si="60"/>
        <v>91.539588345362205</v>
      </c>
    </row>
    <row r="157" spans="1:10" ht="22.5" customHeight="1">
      <c r="A157" s="7"/>
      <c r="B157" s="23" t="s">
        <v>46</v>
      </c>
      <c r="C157" s="17" t="s">
        <v>175</v>
      </c>
      <c r="D157" s="20"/>
      <c r="E157" s="21">
        <f t="shared" ref="E157:H157" si="68">E158</f>
        <v>0</v>
      </c>
      <c r="F157" s="21">
        <f t="shared" si="68"/>
        <v>526.20000000000005</v>
      </c>
      <c r="G157" s="22">
        <f t="shared" si="68"/>
        <v>467.625</v>
      </c>
      <c r="H157" s="21">
        <f t="shared" si="68"/>
        <v>428.06200000000001</v>
      </c>
      <c r="I157" s="21">
        <f t="shared" si="59"/>
        <v>-39.562999999999988</v>
      </c>
      <c r="J157" s="21">
        <f t="shared" si="60"/>
        <v>91.539588345362205</v>
      </c>
    </row>
    <row r="158" spans="1:10" ht="40.5" customHeight="1">
      <c r="A158" s="7"/>
      <c r="B158" s="23" t="s">
        <v>20</v>
      </c>
      <c r="C158" s="17" t="s">
        <v>175</v>
      </c>
      <c r="D158" s="20">
        <v>600</v>
      </c>
      <c r="E158" s="21"/>
      <c r="F158" s="21">
        <v>526.20000000000005</v>
      </c>
      <c r="G158" s="22">
        <f>1004.4-536.775</f>
        <v>467.625</v>
      </c>
      <c r="H158" s="21">
        <v>428.06200000000001</v>
      </c>
      <c r="I158" s="21">
        <f t="shared" si="59"/>
        <v>-39.562999999999988</v>
      </c>
      <c r="J158" s="21">
        <f t="shared" si="60"/>
        <v>91.539588345362205</v>
      </c>
    </row>
    <row r="159" spans="1:10" ht="18.75">
      <c r="A159" s="7"/>
      <c r="B159" s="23" t="s">
        <v>176</v>
      </c>
      <c r="C159" s="17" t="s">
        <v>177</v>
      </c>
      <c r="D159" s="20"/>
      <c r="E159" s="21">
        <f>E161</f>
        <v>0</v>
      </c>
      <c r="F159" s="21">
        <f t="shared" ref="F159" si="69">F161</f>
        <v>50</v>
      </c>
      <c r="G159" s="22">
        <f>G161+G160</f>
        <v>10.158000000000001</v>
      </c>
      <c r="H159" s="21">
        <f>H161+H160</f>
        <v>0</v>
      </c>
      <c r="I159" s="21">
        <f t="shared" si="59"/>
        <v>-10.158000000000001</v>
      </c>
      <c r="J159" s="21">
        <f t="shared" si="60"/>
        <v>0</v>
      </c>
    </row>
    <row r="160" spans="1:10" ht="37.5">
      <c r="A160" s="7"/>
      <c r="B160" s="23" t="s">
        <v>20</v>
      </c>
      <c r="C160" s="17" t="s">
        <v>177</v>
      </c>
      <c r="D160" s="20">
        <v>600</v>
      </c>
      <c r="E160" s="21"/>
      <c r="F160" s="21"/>
      <c r="G160" s="22">
        <f>50-39.842</f>
        <v>10.158000000000001</v>
      </c>
      <c r="H160" s="21"/>
      <c r="I160" s="21">
        <f t="shared" si="59"/>
        <v>-10.158000000000001</v>
      </c>
      <c r="J160" s="21">
        <f t="shared" si="60"/>
        <v>0</v>
      </c>
    </row>
    <row r="161" spans="1:10" ht="37.5" hidden="1">
      <c r="A161" s="7"/>
      <c r="B161" s="23" t="s">
        <v>178</v>
      </c>
      <c r="C161" s="17" t="s">
        <v>179</v>
      </c>
      <c r="D161" s="20"/>
      <c r="E161" s="21">
        <f t="shared" ref="E161:H161" si="70">E162</f>
        <v>0</v>
      </c>
      <c r="F161" s="21">
        <f t="shared" si="70"/>
        <v>50</v>
      </c>
      <c r="G161" s="22">
        <f t="shared" si="70"/>
        <v>0</v>
      </c>
      <c r="H161" s="21">
        <f t="shared" si="70"/>
        <v>0</v>
      </c>
      <c r="I161" s="21">
        <f t="shared" si="59"/>
        <v>0</v>
      </c>
      <c r="J161" s="21" t="e">
        <f t="shared" si="60"/>
        <v>#DIV/0!</v>
      </c>
    </row>
    <row r="162" spans="1:10" ht="37.5" hidden="1">
      <c r="A162" s="7"/>
      <c r="B162" s="23" t="s">
        <v>20</v>
      </c>
      <c r="C162" s="17" t="s">
        <v>179</v>
      </c>
      <c r="D162" s="20">
        <v>600</v>
      </c>
      <c r="E162" s="21"/>
      <c r="F162" s="21">
        <v>50</v>
      </c>
      <c r="G162" s="22"/>
      <c r="H162" s="21"/>
      <c r="I162" s="21">
        <f t="shared" si="59"/>
        <v>0</v>
      </c>
      <c r="J162" s="21" t="e">
        <f t="shared" si="60"/>
        <v>#DIV/0!</v>
      </c>
    </row>
    <row r="163" spans="1:10" ht="56.25">
      <c r="A163" s="7"/>
      <c r="B163" s="23" t="s">
        <v>180</v>
      </c>
      <c r="C163" s="17" t="s">
        <v>181</v>
      </c>
      <c r="D163" s="20"/>
      <c r="E163" s="21"/>
      <c r="F163" s="21"/>
      <c r="G163" s="22">
        <f>G164</f>
        <v>50</v>
      </c>
      <c r="H163" s="21">
        <f>H164</f>
        <v>50</v>
      </c>
      <c r="I163" s="21">
        <f t="shared" si="59"/>
        <v>0</v>
      </c>
      <c r="J163" s="21">
        <f t="shared" si="60"/>
        <v>100</v>
      </c>
    </row>
    <row r="164" spans="1:10" ht="37.5">
      <c r="A164" s="7"/>
      <c r="B164" s="23" t="s">
        <v>20</v>
      </c>
      <c r="C164" s="17" t="s">
        <v>181</v>
      </c>
      <c r="D164" s="20">
        <v>600</v>
      </c>
      <c r="E164" s="21"/>
      <c r="F164" s="21"/>
      <c r="G164" s="22">
        <v>50</v>
      </c>
      <c r="H164" s="21">
        <v>50</v>
      </c>
      <c r="I164" s="21">
        <f t="shared" si="59"/>
        <v>0</v>
      </c>
      <c r="J164" s="21">
        <f t="shared" si="60"/>
        <v>100</v>
      </c>
    </row>
    <row r="165" spans="1:10" ht="42.75" hidden="1" customHeight="1">
      <c r="A165" s="7"/>
      <c r="B165" s="23" t="s">
        <v>182</v>
      </c>
      <c r="C165" s="17" t="s">
        <v>183</v>
      </c>
      <c r="D165" s="20"/>
      <c r="E165" s="21"/>
      <c r="F165" s="21"/>
      <c r="G165" s="22">
        <f>G166</f>
        <v>0</v>
      </c>
      <c r="H165" s="21"/>
      <c r="I165" s="21"/>
      <c r="J165" s="21"/>
    </row>
    <row r="166" spans="1:10" ht="18.75" hidden="1">
      <c r="A166" s="7"/>
      <c r="B166" s="23" t="s">
        <v>184</v>
      </c>
      <c r="C166" s="17" t="s">
        <v>185</v>
      </c>
      <c r="D166" s="20"/>
      <c r="E166" s="21"/>
      <c r="F166" s="21"/>
      <c r="G166" s="22">
        <f>G167</f>
        <v>0</v>
      </c>
      <c r="H166" s="21">
        <f>H167</f>
        <v>0</v>
      </c>
      <c r="I166" s="21">
        <f t="shared" si="59"/>
        <v>0</v>
      </c>
      <c r="J166" s="21" t="e">
        <f t="shared" si="60"/>
        <v>#DIV/0!</v>
      </c>
    </row>
    <row r="167" spans="1:10" ht="37.5" hidden="1">
      <c r="A167" s="7"/>
      <c r="B167" s="23" t="s">
        <v>20</v>
      </c>
      <c r="C167" s="17" t="s">
        <v>185</v>
      </c>
      <c r="D167" s="20">
        <v>600</v>
      </c>
      <c r="E167" s="21"/>
      <c r="F167" s="21"/>
      <c r="G167" s="22"/>
      <c r="H167" s="21"/>
      <c r="I167" s="21">
        <f t="shared" si="59"/>
        <v>0</v>
      </c>
      <c r="J167" s="21" t="e">
        <f t="shared" si="60"/>
        <v>#DIV/0!</v>
      </c>
    </row>
    <row r="168" spans="1:10" ht="18.75" hidden="1">
      <c r="A168" s="7"/>
      <c r="B168" s="5" t="s">
        <v>186</v>
      </c>
      <c r="C168" s="17" t="s">
        <v>187</v>
      </c>
      <c r="D168" s="20"/>
      <c r="E168" s="21"/>
      <c r="F168" s="21"/>
      <c r="G168" s="22">
        <f>G169+G171</f>
        <v>0</v>
      </c>
      <c r="H168" s="21"/>
      <c r="I168" s="21"/>
      <c r="J168" s="21"/>
    </row>
    <row r="169" spans="1:10" ht="37.5" hidden="1">
      <c r="A169" s="7"/>
      <c r="B169" s="23" t="s">
        <v>188</v>
      </c>
      <c r="C169" s="17" t="s">
        <v>189</v>
      </c>
      <c r="D169" s="20"/>
      <c r="E169" s="21"/>
      <c r="F169" s="21"/>
      <c r="G169" s="22">
        <f>G170</f>
        <v>0</v>
      </c>
      <c r="H169" s="21">
        <f>H170</f>
        <v>51.2</v>
      </c>
      <c r="I169" s="21">
        <f t="shared" si="59"/>
        <v>51.2</v>
      </c>
      <c r="J169" s="21" t="e">
        <f t="shared" si="60"/>
        <v>#DIV/0!</v>
      </c>
    </row>
    <row r="170" spans="1:10" ht="37.5" hidden="1">
      <c r="A170" s="7"/>
      <c r="B170" s="23" t="s">
        <v>20</v>
      </c>
      <c r="C170" s="17" t="s">
        <v>189</v>
      </c>
      <c r="D170" s="20">
        <v>600</v>
      </c>
      <c r="E170" s="21"/>
      <c r="F170" s="21"/>
      <c r="G170" s="22"/>
      <c r="H170" s="21">
        <f>50.6+0.6</f>
        <v>51.2</v>
      </c>
      <c r="I170" s="21">
        <f t="shared" si="59"/>
        <v>51.2</v>
      </c>
      <c r="J170" s="21" t="e">
        <f t="shared" si="60"/>
        <v>#DIV/0!</v>
      </c>
    </row>
    <row r="171" spans="1:10" ht="37.5" hidden="1">
      <c r="A171" s="7"/>
      <c r="B171" s="23" t="s">
        <v>190</v>
      </c>
      <c r="C171" s="17" t="s">
        <v>191</v>
      </c>
      <c r="D171" s="20"/>
      <c r="E171" s="21"/>
      <c r="F171" s="21"/>
      <c r="G171" s="22">
        <f>G172</f>
        <v>0</v>
      </c>
      <c r="H171" s="21">
        <f>H172</f>
        <v>102.2</v>
      </c>
      <c r="I171" s="21">
        <f t="shared" si="59"/>
        <v>102.2</v>
      </c>
      <c r="J171" s="21" t="e">
        <f t="shared" si="60"/>
        <v>#DIV/0!</v>
      </c>
    </row>
    <row r="172" spans="1:10" ht="37.5" hidden="1">
      <c r="A172" s="7"/>
      <c r="B172" s="23" t="s">
        <v>20</v>
      </c>
      <c r="C172" s="17" t="s">
        <v>191</v>
      </c>
      <c r="D172" s="20">
        <v>600</v>
      </c>
      <c r="E172" s="21"/>
      <c r="F172" s="21"/>
      <c r="G172" s="22"/>
      <c r="H172" s="21">
        <f>101.1+1.1</f>
        <v>102.2</v>
      </c>
      <c r="I172" s="21">
        <f t="shared" si="59"/>
        <v>102.2</v>
      </c>
      <c r="J172" s="21" t="e">
        <f t="shared" si="60"/>
        <v>#DIV/0!</v>
      </c>
    </row>
    <row r="173" spans="1:10" ht="17.25" customHeight="1">
      <c r="A173" s="7"/>
      <c r="B173" s="16" t="s">
        <v>192</v>
      </c>
      <c r="C173" s="17" t="s">
        <v>193</v>
      </c>
      <c r="D173" s="20" t="s">
        <v>15</v>
      </c>
      <c r="E173" s="21">
        <f>E174+E178+E183+E186</f>
        <v>1242.5999999999999</v>
      </c>
      <c r="F173" s="21">
        <f t="shared" ref="F173" si="71">F174+F178+F183+F186</f>
        <v>229.2</v>
      </c>
      <c r="G173" s="22">
        <f>G174+G178+G183+G186+G189+G176+G192</f>
        <v>7054.9910999999993</v>
      </c>
      <c r="H173" s="21">
        <f>H174+H178+H183+H186+H190+H176+H195+H193</f>
        <v>5770.9397300000001</v>
      </c>
      <c r="I173" s="21">
        <f t="shared" si="59"/>
        <v>-1284.0513699999992</v>
      </c>
      <c r="J173" s="21">
        <f t="shared" si="60"/>
        <v>81.79939064699883</v>
      </c>
    </row>
    <row r="174" spans="1:10" ht="18.75" hidden="1">
      <c r="A174" s="7"/>
      <c r="B174" s="23" t="s">
        <v>162</v>
      </c>
      <c r="C174" s="17" t="s">
        <v>194</v>
      </c>
      <c r="D174" s="20" t="s">
        <v>15</v>
      </c>
      <c r="E174" s="21">
        <f>E175</f>
        <v>3.6</v>
      </c>
      <c r="F174" s="21">
        <f t="shared" ref="F174:H174" si="72">F175</f>
        <v>0</v>
      </c>
      <c r="G174" s="22">
        <f t="shared" si="72"/>
        <v>0</v>
      </c>
      <c r="H174" s="21">
        <f t="shared" si="72"/>
        <v>0</v>
      </c>
      <c r="I174" s="21">
        <f t="shared" si="59"/>
        <v>0</v>
      </c>
      <c r="J174" s="21" t="e">
        <f t="shared" si="60"/>
        <v>#DIV/0!</v>
      </c>
    </row>
    <row r="175" spans="1:10" ht="37.5" hidden="1">
      <c r="A175" s="7"/>
      <c r="B175" s="16" t="s">
        <v>20</v>
      </c>
      <c r="C175" s="17" t="s">
        <v>194</v>
      </c>
      <c r="D175" s="20">
        <v>600</v>
      </c>
      <c r="E175" s="21">
        <v>3.6</v>
      </c>
      <c r="F175" s="21"/>
      <c r="G175" s="22"/>
      <c r="H175" s="21"/>
      <c r="I175" s="21">
        <f t="shared" si="59"/>
        <v>0</v>
      </c>
      <c r="J175" s="21" t="e">
        <f t="shared" si="60"/>
        <v>#DIV/0!</v>
      </c>
    </row>
    <row r="176" spans="1:10" ht="61.5" customHeight="1">
      <c r="A176" s="7"/>
      <c r="B176" s="16" t="s">
        <v>195</v>
      </c>
      <c r="C176" s="17" t="s">
        <v>196</v>
      </c>
      <c r="D176" s="20" t="s">
        <v>15</v>
      </c>
      <c r="E176" s="21"/>
      <c r="F176" s="21"/>
      <c r="G176" s="22">
        <f>G177</f>
        <v>1482.7491199999999</v>
      </c>
      <c r="H176" s="21">
        <f>H177</f>
        <v>24</v>
      </c>
      <c r="I176" s="21">
        <f t="shared" si="59"/>
        <v>-1458.7491199999999</v>
      </c>
      <c r="J176" s="21">
        <f t="shared" si="60"/>
        <v>1.6186150223444409</v>
      </c>
    </row>
    <row r="177" spans="1:10" ht="37.5">
      <c r="A177" s="7"/>
      <c r="B177" s="16" t="s">
        <v>20</v>
      </c>
      <c r="C177" s="17" t="s">
        <v>196</v>
      </c>
      <c r="D177" s="20">
        <v>600</v>
      </c>
      <c r="E177" s="21"/>
      <c r="F177" s="21"/>
      <c r="G177" s="22">
        <f>1374.74912+108</f>
        <v>1482.7491199999999</v>
      </c>
      <c r="H177" s="21">
        <v>24</v>
      </c>
      <c r="I177" s="21">
        <f t="shared" si="59"/>
        <v>-1458.7491199999999</v>
      </c>
      <c r="J177" s="21">
        <f t="shared" si="60"/>
        <v>1.6186150223444409</v>
      </c>
    </row>
    <row r="178" spans="1:10" ht="18.75">
      <c r="A178" s="7"/>
      <c r="B178" s="16" t="s">
        <v>33</v>
      </c>
      <c r="C178" s="17" t="s">
        <v>197</v>
      </c>
      <c r="D178" s="20"/>
      <c r="E178" s="21">
        <f t="shared" ref="E178:F178" si="73">E179+E181</f>
        <v>1239</v>
      </c>
      <c r="F178" s="21">
        <f t="shared" si="73"/>
        <v>129.69999999999999</v>
      </c>
      <c r="G178" s="22">
        <f t="shared" ref="G178" si="74">G179+G181</f>
        <v>5482.8269799999998</v>
      </c>
      <c r="H178" s="21">
        <f t="shared" ref="H178" si="75">H179+H181</f>
        <v>1959.8297299999999</v>
      </c>
      <c r="I178" s="21">
        <f t="shared" si="59"/>
        <v>-3522.9972499999999</v>
      </c>
      <c r="J178" s="21">
        <f t="shared" si="60"/>
        <v>35.744876450578786</v>
      </c>
    </row>
    <row r="179" spans="1:10" ht="37.5">
      <c r="A179" s="7"/>
      <c r="B179" s="23" t="s">
        <v>35</v>
      </c>
      <c r="C179" s="17" t="s">
        <v>198</v>
      </c>
      <c r="D179" s="20" t="s">
        <v>15</v>
      </c>
      <c r="E179" s="21">
        <f t="shared" ref="E179:H179" si="76">E180</f>
        <v>1232.0999999999999</v>
      </c>
      <c r="F179" s="21">
        <f t="shared" si="76"/>
        <v>0</v>
      </c>
      <c r="G179" s="22">
        <f t="shared" si="76"/>
        <v>5322.8269799999998</v>
      </c>
      <c r="H179" s="21">
        <f t="shared" si="76"/>
        <v>1785.56333</v>
      </c>
      <c r="I179" s="21">
        <f t="shared" si="59"/>
        <v>-3537.2636499999999</v>
      </c>
      <c r="J179" s="21">
        <f t="shared" si="60"/>
        <v>33.545394894650507</v>
      </c>
    </row>
    <row r="180" spans="1:10" ht="37.5">
      <c r="A180" s="7"/>
      <c r="B180" s="23" t="s">
        <v>20</v>
      </c>
      <c r="C180" s="17" t="s">
        <v>198</v>
      </c>
      <c r="D180" s="20" t="s">
        <v>21</v>
      </c>
      <c r="E180" s="21">
        <f>1368.7-129.7-6.9</f>
        <v>1232.0999999999999</v>
      </c>
      <c r="F180" s="21"/>
      <c r="G180" s="22">
        <v>5322.8269799999998</v>
      </c>
      <c r="H180" s="21">
        <v>1785.56333</v>
      </c>
      <c r="I180" s="21">
        <f t="shared" si="59"/>
        <v>-3537.2636499999999</v>
      </c>
      <c r="J180" s="21">
        <f t="shared" si="60"/>
        <v>33.545394894650507</v>
      </c>
    </row>
    <row r="181" spans="1:10" ht="37.5">
      <c r="A181" s="7"/>
      <c r="B181" s="23" t="s">
        <v>39</v>
      </c>
      <c r="C181" s="17" t="s">
        <v>199</v>
      </c>
      <c r="D181" s="20"/>
      <c r="E181" s="21">
        <f t="shared" ref="E181:H181" si="77">E182</f>
        <v>6.9</v>
      </c>
      <c r="F181" s="21">
        <f t="shared" si="77"/>
        <v>129.69999999999999</v>
      </c>
      <c r="G181" s="22">
        <f t="shared" si="77"/>
        <v>160</v>
      </c>
      <c r="H181" s="21">
        <f t="shared" si="77"/>
        <v>174.2664</v>
      </c>
      <c r="I181" s="21">
        <f t="shared" si="59"/>
        <v>14.266400000000004</v>
      </c>
      <c r="J181" s="21">
        <f t="shared" si="60"/>
        <v>108.9165</v>
      </c>
    </row>
    <row r="182" spans="1:10" ht="37.5">
      <c r="A182" s="7"/>
      <c r="B182" s="23" t="s">
        <v>20</v>
      </c>
      <c r="C182" s="17" t="s">
        <v>199</v>
      </c>
      <c r="D182" s="20" t="s">
        <v>21</v>
      </c>
      <c r="E182" s="21">
        <v>6.9</v>
      </c>
      <c r="F182" s="21">
        <v>129.69999999999999</v>
      </c>
      <c r="G182" s="22">
        <v>160</v>
      </c>
      <c r="H182" s="21">
        <v>174.2664</v>
      </c>
      <c r="I182" s="21">
        <f t="shared" si="59"/>
        <v>14.266400000000004</v>
      </c>
      <c r="J182" s="21">
        <f t="shared" si="60"/>
        <v>108.9165</v>
      </c>
    </row>
    <row r="183" spans="1:10" ht="56.25" customHeight="1">
      <c r="A183" s="7"/>
      <c r="B183" s="30" t="s">
        <v>41</v>
      </c>
      <c r="C183" s="17" t="s">
        <v>200</v>
      </c>
      <c r="D183" s="20"/>
      <c r="E183" s="21">
        <f>E184</f>
        <v>0</v>
      </c>
      <c r="F183" s="21">
        <f t="shared" ref="F183:H183" si="78">F184</f>
        <v>49.5</v>
      </c>
      <c r="G183" s="22">
        <f t="shared" si="78"/>
        <v>89.415000000000006</v>
      </c>
      <c r="H183" s="21">
        <f t="shared" si="78"/>
        <v>62.61</v>
      </c>
      <c r="I183" s="21">
        <f t="shared" si="59"/>
        <v>-26.805000000000007</v>
      </c>
      <c r="J183" s="21">
        <f t="shared" si="60"/>
        <v>70.021808421405794</v>
      </c>
    </row>
    <row r="184" spans="1:10" ht="21.75" customHeight="1">
      <c r="A184" s="7"/>
      <c r="B184" s="23" t="s">
        <v>46</v>
      </c>
      <c r="C184" s="17" t="s">
        <v>201</v>
      </c>
      <c r="D184" s="20"/>
      <c r="E184" s="21">
        <f t="shared" ref="E184:H184" si="79">E185</f>
        <v>0</v>
      </c>
      <c r="F184" s="21">
        <f t="shared" si="79"/>
        <v>49.5</v>
      </c>
      <c r="G184" s="22">
        <f t="shared" si="79"/>
        <v>89.415000000000006</v>
      </c>
      <c r="H184" s="21">
        <f t="shared" si="79"/>
        <v>62.61</v>
      </c>
      <c r="I184" s="21">
        <f t="shared" si="59"/>
        <v>-26.805000000000007</v>
      </c>
      <c r="J184" s="21">
        <f t="shared" si="60"/>
        <v>70.021808421405794</v>
      </c>
    </row>
    <row r="185" spans="1:10" ht="38.25" customHeight="1">
      <c r="A185" s="7"/>
      <c r="B185" s="23" t="s">
        <v>20</v>
      </c>
      <c r="C185" s="17" t="s">
        <v>201</v>
      </c>
      <c r="D185" s="20">
        <v>600</v>
      </c>
      <c r="E185" s="21"/>
      <c r="F185" s="21">
        <v>49.5</v>
      </c>
      <c r="G185" s="22">
        <f>143.4-53.985</f>
        <v>89.415000000000006</v>
      </c>
      <c r="H185" s="21">
        <v>62.61</v>
      </c>
      <c r="I185" s="21">
        <f t="shared" si="59"/>
        <v>-26.805000000000007</v>
      </c>
      <c r="J185" s="21">
        <f t="shared" si="60"/>
        <v>70.021808421405794</v>
      </c>
    </row>
    <row r="186" spans="1:10" ht="18.75" hidden="1">
      <c r="A186" s="7"/>
      <c r="B186" s="23" t="s">
        <v>202</v>
      </c>
      <c r="C186" s="17" t="s">
        <v>203</v>
      </c>
      <c r="D186" s="20"/>
      <c r="E186" s="21">
        <f>E187</f>
        <v>0</v>
      </c>
      <c r="F186" s="21">
        <f t="shared" ref="F186:H186" si="80">F187</f>
        <v>50</v>
      </c>
      <c r="G186" s="22">
        <f t="shared" si="80"/>
        <v>0</v>
      </c>
      <c r="H186" s="21">
        <f t="shared" si="80"/>
        <v>0</v>
      </c>
      <c r="I186" s="21">
        <f t="shared" si="59"/>
        <v>0</v>
      </c>
      <c r="J186" s="21" t="e">
        <f t="shared" si="60"/>
        <v>#DIV/0!</v>
      </c>
    </row>
    <row r="187" spans="1:10" ht="37.5" hidden="1">
      <c r="A187" s="7"/>
      <c r="B187" s="23" t="s">
        <v>178</v>
      </c>
      <c r="C187" s="17" t="s">
        <v>204</v>
      </c>
      <c r="D187" s="20"/>
      <c r="E187" s="21">
        <f>E188</f>
        <v>0</v>
      </c>
      <c r="F187" s="21">
        <f>F188</f>
        <v>50</v>
      </c>
      <c r="G187" s="22">
        <f>G188</f>
        <v>0</v>
      </c>
      <c r="H187" s="21">
        <f>H188</f>
        <v>0</v>
      </c>
      <c r="I187" s="21">
        <f t="shared" si="59"/>
        <v>0</v>
      </c>
      <c r="J187" s="21" t="e">
        <f t="shared" si="60"/>
        <v>#DIV/0!</v>
      </c>
    </row>
    <row r="188" spans="1:10" ht="22.5" hidden="1" customHeight="1">
      <c r="A188" s="7"/>
      <c r="B188" s="23" t="s">
        <v>20</v>
      </c>
      <c r="C188" s="17" t="s">
        <v>204</v>
      </c>
      <c r="D188" s="20">
        <v>600</v>
      </c>
      <c r="E188" s="21">
        <v>0</v>
      </c>
      <c r="F188" s="21">
        <v>50</v>
      </c>
      <c r="G188" s="22"/>
      <c r="H188" s="21"/>
      <c r="I188" s="21">
        <f t="shared" si="59"/>
        <v>0</v>
      </c>
      <c r="J188" s="21" t="e">
        <f t="shared" si="60"/>
        <v>#DIV/0!</v>
      </c>
    </row>
    <row r="189" spans="1:10" ht="22.5" hidden="1" customHeight="1">
      <c r="A189" s="7"/>
      <c r="B189" s="5" t="s">
        <v>205</v>
      </c>
      <c r="C189" s="17" t="s">
        <v>206</v>
      </c>
      <c r="D189" s="20"/>
      <c r="E189" s="21"/>
      <c r="F189" s="21"/>
      <c r="G189" s="22">
        <f>G190</f>
        <v>0</v>
      </c>
      <c r="H189" s="21"/>
      <c r="I189" s="21"/>
      <c r="J189" s="21"/>
    </row>
    <row r="190" spans="1:10" ht="18.75" hidden="1">
      <c r="A190" s="7"/>
      <c r="B190" s="23" t="s">
        <v>207</v>
      </c>
      <c r="C190" s="17" t="s">
        <v>208</v>
      </c>
      <c r="D190" s="20"/>
      <c r="E190" s="21"/>
      <c r="F190" s="21"/>
      <c r="G190" s="22">
        <f>G191</f>
        <v>0</v>
      </c>
      <c r="H190" s="21">
        <f>H191</f>
        <v>3571.1</v>
      </c>
      <c r="I190" s="21">
        <f t="shared" si="59"/>
        <v>3571.1</v>
      </c>
      <c r="J190" s="21" t="e">
        <f t="shared" si="60"/>
        <v>#DIV/0!</v>
      </c>
    </row>
    <row r="191" spans="1:10" ht="39.75" hidden="1" customHeight="1">
      <c r="A191" s="7"/>
      <c r="B191" s="23" t="s">
        <v>20</v>
      </c>
      <c r="C191" s="17" t="s">
        <v>208</v>
      </c>
      <c r="D191" s="20">
        <v>600</v>
      </c>
      <c r="E191" s="21"/>
      <c r="F191" s="21"/>
      <c r="G191" s="22"/>
      <c r="H191" s="21">
        <f>3535.3+35.8</f>
        <v>3571.1</v>
      </c>
      <c r="I191" s="21">
        <f t="shared" si="59"/>
        <v>3571.1</v>
      </c>
      <c r="J191" s="21" t="e">
        <f t="shared" si="60"/>
        <v>#DIV/0!</v>
      </c>
    </row>
    <row r="192" spans="1:10" ht="26.25" hidden="1" customHeight="1">
      <c r="A192" s="7"/>
      <c r="B192" s="5" t="s">
        <v>209</v>
      </c>
      <c r="C192" s="17" t="s">
        <v>210</v>
      </c>
      <c r="D192" s="20"/>
      <c r="E192" s="21"/>
      <c r="F192" s="21"/>
      <c r="G192" s="22">
        <f>G193+G195</f>
        <v>0</v>
      </c>
      <c r="H192" s="21"/>
      <c r="I192" s="21"/>
      <c r="J192" s="21"/>
    </row>
    <row r="193" spans="1:10" ht="39.75" hidden="1" customHeight="1">
      <c r="A193" s="7"/>
      <c r="B193" s="23" t="s">
        <v>188</v>
      </c>
      <c r="C193" s="17" t="s">
        <v>211</v>
      </c>
      <c r="D193" s="20"/>
      <c r="E193" s="21"/>
      <c r="F193" s="21"/>
      <c r="G193" s="22">
        <f>G194</f>
        <v>0</v>
      </c>
      <c r="H193" s="21">
        <f>H194</f>
        <v>51.2</v>
      </c>
      <c r="I193" s="21">
        <f t="shared" si="59"/>
        <v>51.2</v>
      </c>
      <c r="J193" s="21" t="e">
        <f t="shared" si="60"/>
        <v>#DIV/0!</v>
      </c>
    </row>
    <row r="194" spans="1:10" ht="37.5" hidden="1">
      <c r="A194" s="7"/>
      <c r="B194" s="23" t="s">
        <v>20</v>
      </c>
      <c r="C194" s="17" t="s">
        <v>211</v>
      </c>
      <c r="D194" s="20">
        <v>600</v>
      </c>
      <c r="E194" s="21"/>
      <c r="F194" s="21"/>
      <c r="G194" s="22"/>
      <c r="H194" s="21">
        <f>50.6+0.6</f>
        <v>51.2</v>
      </c>
      <c r="I194" s="21">
        <f t="shared" si="59"/>
        <v>51.2</v>
      </c>
      <c r="J194" s="21" t="e">
        <f t="shared" si="60"/>
        <v>#DIV/0!</v>
      </c>
    </row>
    <row r="195" spans="1:10" ht="37.5" hidden="1">
      <c r="A195" s="7"/>
      <c r="B195" s="23" t="s">
        <v>190</v>
      </c>
      <c r="C195" s="17" t="s">
        <v>212</v>
      </c>
      <c r="D195" s="20"/>
      <c r="E195" s="21"/>
      <c r="F195" s="21"/>
      <c r="G195" s="22">
        <f>G196</f>
        <v>0</v>
      </c>
      <c r="H195" s="21">
        <f>H196</f>
        <v>102.2</v>
      </c>
      <c r="I195" s="21">
        <f t="shared" si="59"/>
        <v>102.2</v>
      </c>
      <c r="J195" s="21" t="e">
        <f t="shared" si="60"/>
        <v>#DIV/0!</v>
      </c>
    </row>
    <row r="196" spans="1:10" ht="37.5" hidden="1">
      <c r="A196" s="7"/>
      <c r="B196" s="23" t="s">
        <v>20</v>
      </c>
      <c r="C196" s="17" t="s">
        <v>212</v>
      </c>
      <c r="D196" s="20">
        <v>600</v>
      </c>
      <c r="E196" s="21"/>
      <c r="F196" s="21"/>
      <c r="G196" s="22"/>
      <c r="H196" s="21">
        <f>101.1+1.1</f>
        <v>102.2</v>
      </c>
      <c r="I196" s="21">
        <f t="shared" si="59"/>
        <v>102.2</v>
      </c>
      <c r="J196" s="21" t="e">
        <f t="shared" si="60"/>
        <v>#DIV/0!</v>
      </c>
    </row>
    <row r="197" spans="1:10" ht="33" customHeight="1">
      <c r="A197" s="7"/>
      <c r="B197" s="16" t="s">
        <v>213</v>
      </c>
      <c r="C197" s="17" t="s">
        <v>214</v>
      </c>
      <c r="D197" s="20" t="s">
        <v>15</v>
      </c>
      <c r="E197" s="21">
        <f>E198+E202+E207+E210</f>
        <v>13114</v>
      </c>
      <c r="F197" s="21">
        <f t="shared" ref="F197" si="81">F198+F202+F207+F210</f>
        <v>1660.8</v>
      </c>
      <c r="G197" s="22">
        <f>G198+G202+G207+G210+G217</f>
        <v>23234.655299999999</v>
      </c>
      <c r="H197" s="21">
        <f>H198+H202+H207+H210+H200+H218</f>
        <v>14151.17088</v>
      </c>
      <c r="I197" s="21">
        <f t="shared" si="59"/>
        <v>-9083.4844199999989</v>
      </c>
      <c r="J197" s="21">
        <f t="shared" si="60"/>
        <v>60.905447906515754</v>
      </c>
    </row>
    <row r="198" spans="1:10" ht="19.5" customHeight="1">
      <c r="A198" s="7"/>
      <c r="B198" s="23" t="s">
        <v>215</v>
      </c>
      <c r="C198" s="17" t="s">
        <v>216</v>
      </c>
      <c r="D198" s="20"/>
      <c r="E198" s="21">
        <f t="shared" ref="E198:H198" si="82">E199</f>
        <v>850</v>
      </c>
      <c r="F198" s="21">
        <f t="shared" si="82"/>
        <v>0</v>
      </c>
      <c r="G198" s="22">
        <f>G199+G200</f>
        <v>254</v>
      </c>
      <c r="H198" s="21">
        <f t="shared" si="82"/>
        <v>188</v>
      </c>
      <c r="I198" s="21">
        <f t="shared" si="59"/>
        <v>-66</v>
      </c>
      <c r="J198" s="21">
        <f t="shared" si="60"/>
        <v>74.015748031496059</v>
      </c>
    </row>
    <row r="199" spans="1:10" ht="37.5">
      <c r="A199" s="7"/>
      <c r="B199" s="23" t="s">
        <v>20</v>
      </c>
      <c r="C199" s="17" t="s">
        <v>216</v>
      </c>
      <c r="D199" s="20">
        <v>600</v>
      </c>
      <c r="E199" s="21">
        <v>850</v>
      </c>
      <c r="F199" s="21"/>
      <c r="G199" s="22"/>
      <c r="H199" s="21">
        <v>188</v>
      </c>
      <c r="I199" s="21">
        <f t="shared" si="59"/>
        <v>188</v>
      </c>
      <c r="J199" s="21" t="e">
        <f t="shared" si="60"/>
        <v>#DIV/0!</v>
      </c>
    </row>
    <row r="200" spans="1:10" ht="18.75">
      <c r="A200" s="7"/>
      <c r="B200" s="23" t="s">
        <v>162</v>
      </c>
      <c r="C200" s="17" t="s">
        <v>217</v>
      </c>
      <c r="D200" s="20"/>
      <c r="E200" s="21"/>
      <c r="F200" s="21"/>
      <c r="G200" s="22">
        <f>G201</f>
        <v>254</v>
      </c>
      <c r="H200" s="21">
        <f>H201</f>
        <v>137</v>
      </c>
      <c r="I200" s="21">
        <f t="shared" si="59"/>
        <v>-117</v>
      </c>
      <c r="J200" s="21">
        <f t="shared" si="60"/>
        <v>53.937007874015755</v>
      </c>
    </row>
    <row r="201" spans="1:10" ht="37.5">
      <c r="A201" s="7"/>
      <c r="B201" s="23" t="s">
        <v>20</v>
      </c>
      <c r="C201" s="17" t="s">
        <v>217</v>
      </c>
      <c r="D201" s="20">
        <v>600</v>
      </c>
      <c r="E201" s="21"/>
      <c r="F201" s="21"/>
      <c r="G201" s="22">
        <v>254</v>
      </c>
      <c r="H201" s="21">
        <v>137</v>
      </c>
      <c r="I201" s="21">
        <f t="shared" si="59"/>
        <v>-117</v>
      </c>
      <c r="J201" s="21">
        <f t="shared" si="60"/>
        <v>53.937007874015755</v>
      </c>
    </row>
    <row r="202" spans="1:10" ht="18.75">
      <c r="A202" s="7"/>
      <c r="B202" s="23" t="s">
        <v>33</v>
      </c>
      <c r="C202" s="17" t="s">
        <v>218</v>
      </c>
      <c r="D202" s="20"/>
      <c r="E202" s="21">
        <f>E203+E205</f>
        <v>10764</v>
      </c>
      <c r="F202" s="21">
        <f t="shared" ref="F202" si="83">F203+F205</f>
        <v>1058.9000000000001</v>
      </c>
      <c r="G202" s="22">
        <f t="shared" ref="G202" si="84">G203+G205</f>
        <v>22063.8953</v>
      </c>
      <c r="H202" s="21">
        <f t="shared" ref="H202" si="85">H203+H205</f>
        <v>11950.08293</v>
      </c>
      <c r="I202" s="21">
        <f t="shared" si="59"/>
        <v>-10113.81237</v>
      </c>
      <c r="J202" s="21">
        <f t="shared" si="60"/>
        <v>54.1612565121264</v>
      </c>
    </row>
    <row r="203" spans="1:10" ht="37.5">
      <c r="A203" s="7"/>
      <c r="B203" s="23" t="s">
        <v>35</v>
      </c>
      <c r="C203" s="17" t="s">
        <v>219</v>
      </c>
      <c r="D203" s="20" t="s">
        <v>15</v>
      </c>
      <c r="E203" s="21">
        <f t="shared" ref="E203:H203" si="86">E204</f>
        <v>10708.3</v>
      </c>
      <c r="F203" s="21">
        <f t="shared" si="86"/>
        <v>0</v>
      </c>
      <c r="G203" s="22">
        <f t="shared" si="86"/>
        <v>21435.595300000001</v>
      </c>
      <c r="H203" s="21">
        <f t="shared" si="86"/>
        <v>11110.35053</v>
      </c>
      <c r="I203" s="21">
        <f t="shared" si="59"/>
        <v>-10325.244770000001</v>
      </c>
      <c r="J203" s="21">
        <f t="shared" si="60"/>
        <v>51.831313170947944</v>
      </c>
    </row>
    <row r="204" spans="1:10" ht="37.5">
      <c r="A204" s="7"/>
      <c r="B204" s="23" t="s">
        <v>20</v>
      </c>
      <c r="C204" s="17" t="s">
        <v>219</v>
      </c>
      <c r="D204" s="20" t="s">
        <v>21</v>
      </c>
      <c r="E204" s="21">
        <f>11822.9-1058.9-55.7</f>
        <v>10708.3</v>
      </c>
      <c r="F204" s="21"/>
      <c r="G204" s="22">
        <v>21435.595300000001</v>
      </c>
      <c r="H204" s="21">
        <v>11110.35053</v>
      </c>
      <c r="I204" s="21">
        <f t="shared" si="59"/>
        <v>-10325.244770000001</v>
      </c>
      <c r="J204" s="21">
        <f t="shared" si="60"/>
        <v>51.831313170947944</v>
      </c>
    </row>
    <row r="205" spans="1:10" ht="37.5">
      <c r="A205" s="7"/>
      <c r="B205" s="23" t="s">
        <v>39</v>
      </c>
      <c r="C205" s="17" t="s">
        <v>220</v>
      </c>
      <c r="D205" s="20"/>
      <c r="E205" s="21">
        <f t="shared" ref="E205:H205" si="87">E206</f>
        <v>55.7</v>
      </c>
      <c r="F205" s="21">
        <f t="shared" si="87"/>
        <v>1058.9000000000001</v>
      </c>
      <c r="G205" s="22">
        <f t="shared" si="87"/>
        <v>628.29999999999995</v>
      </c>
      <c r="H205" s="21">
        <f t="shared" si="87"/>
        <v>839.73239999999998</v>
      </c>
      <c r="I205" s="21">
        <f t="shared" si="59"/>
        <v>211.43240000000003</v>
      </c>
      <c r="J205" s="21">
        <f t="shared" si="60"/>
        <v>133.65150405857077</v>
      </c>
    </row>
    <row r="206" spans="1:10" ht="37.5">
      <c r="A206" s="7"/>
      <c r="B206" s="23" t="s">
        <v>20</v>
      </c>
      <c r="C206" s="17" t="s">
        <v>220</v>
      </c>
      <c r="D206" s="20" t="s">
        <v>21</v>
      </c>
      <c r="E206" s="21">
        <v>55.7</v>
      </c>
      <c r="F206" s="21">
        <v>1058.9000000000001</v>
      </c>
      <c r="G206" s="22">
        <v>628.29999999999995</v>
      </c>
      <c r="H206" s="21">
        <v>839.73239999999998</v>
      </c>
      <c r="I206" s="21">
        <f t="shared" si="59"/>
        <v>211.43240000000003</v>
      </c>
      <c r="J206" s="21">
        <f t="shared" si="60"/>
        <v>133.65150405857077</v>
      </c>
    </row>
    <row r="207" spans="1:10" ht="59.25" customHeight="1">
      <c r="A207" s="7"/>
      <c r="B207" s="23" t="s">
        <v>41</v>
      </c>
      <c r="C207" s="17" t="s">
        <v>221</v>
      </c>
      <c r="D207" s="20"/>
      <c r="E207" s="21">
        <f>E208</f>
        <v>0</v>
      </c>
      <c r="F207" s="21">
        <f t="shared" ref="F207:H207" si="88">F208</f>
        <v>601.9</v>
      </c>
      <c r="G207" s="22">
        <f t="shared" si="88"/>
        <v>442.96000000000004</v>
      </c>
      <c r="H207" s="21">
        <f t="shared" si="88"/>
        <v>389.45499999999998</v>
      </c>
      <c r="I207" s="21">
        <f t="shared" si="59"/>
        <v>-53.505000000000052</v>
      </c>
      <c r="J207" s="21">
        <f t="shared" si="60"/>
        <v>87.921031244356143</v>
      </c>
    </row>
    <row r="208" spans="1:10" ht="22.5" customHeight="1">
      <c r="A208" s="7"/>
      <c r="B208" s="23" t="s">
        <v>46</v>
      </c>
      <c r="C208" s="17" t="s">
        <v>222</v>
      </c>
      <c r="D208" s="20"/>
      <c r="E208" s="21">
        <f t="shared" ref="E208:H208" si="89">E209</f>
        <v>0</v>
      </c>
      <c r="F208" s="21">
        <f t="shared" si="89"/>
        <v>601.9</v>
      </c>
      <c r="G208" s="22">
        <f t="shared" si="89"/>
        <v>442.96000000000004</v>
      </c>
      <c r="H208" s="21">
        <f t="shared" si="89"/>
        <v>389.45499999999998</v>
      </c>
      <c r="I208" s="21">
        <f t="shared" si="59"/>
        <v>-53.505000000000052</v>
      </c>
      <c r="J208" s="21">
        <f t="shared" si="60"/>
        <v>87.921031244356143</v>
      </c>
    </row>
    <row r="209" spans="1:10" ht="37.5">
      <c r="A209" s="7"/>
      <c r="B209" s="23" t="s">
        <v>20</v>
      </c>
      <c r="C209" s="17" t="s">
        <v>222</v>
      </c>
      <c r="D209" s="20">
        <v>600</v>
      </c>
      <c r="E209" s="21"/>
      <c r="F209" s="21">
        <v>601.9</v>
      </c>
      <c r="G209" s="22">
        <f>789.2-346.24</f>
        <v>442.96000000000004</v>
      </c>
      <c r="H209" s="21">
        <v>389.45499999999998</v>
      </c>
      <c r="I209" s="21">
        <f t="shared" si="59"/>
        <v>-53.505000000000052</v>
      </c>
      <c r="J209" s="21">
        <f t="shared" si="60"/>
        <v>87.921031244356143</v>
      </c>
    </row>
    <row r="210" spans="1:10" ht="20.25" customHeight="1">
      <c r="A210" s="7"/>
      <c r="B210" s="23" t="s">
        <v>223</v>
      </c>
      <c r="C210" s="17" t="s">
        <v>224</v>
      </c>
      <c r="D210" s="20"/>
      <c r="E210" s="21">
        <f t="shared" ref="E210:F210" si="90">E212</f>
        <v>1500</v>
      </c>
      <c r="F210" s="21">
        <f t="shared" si="90"/>
        <v>0</v>
      </c>
      <c r="G210" s="22">
        <f>G211+G215+G213</f>
        <v>422.6</v>
      </c>
      <c r="H210" s="21">
        <f>H212+H215+H213</f>
        <v>1435.4329499999999</v>
      </c>
      <c r="I210" s="21">
        <f t="shared" si="59"/>
        <v>1012.8329499999999</v>
      </c>
      <c r="J210" s="21">
        <f t="shared" si="60"/>
        <v>339.66704921911969</v>
      </c>
    </row>
    <row r="211" spans="1:10" ht="36.75" customHeight="1">
      <c r="A211" s="7"/>
      <c r="B211" s="23" t="s">
        <v>225</v>
      </c>
      <c r="C211" s="17" t="s">
        <v>226</v>
      </c>
      <c r="D211" s="20"/>
      <c r="E211" s="21"/>
      <c r="F211" s="21"/>
      <c r="G211" s="22">
        <f>G212</f>
        <v>280</v>
      </c>
      <c r="H211" s="21"/>
      <c r="I211" s="21"/>
      <c r="J211" s="21"/>
    </row>
    <row r="212" spans="1:10" ht="37.5">
      <c r="A212" s="7"/>
      <c r="B212" s="23" t="s">
        <v>20</v>
      </c>
      <c r="C212" s="17" t="s">
        <v>226</v>
      </c>
      <c r="D212" s="20">
        <v>600</v>
      </c>
      <c r="E212" s="21">
        <f>150+1350</f>
        <v>1500</v>
      </c>
      <c r="F212" s="21"/>
      <c r="G212" s="22">
        <v>280</v>
      </c>
      <c r="H212" s="21">
        <v>1276.53295</v>
      </c>
      <c r="I212" s="21">
        <f t="shared" si="59"/>
        <v>996.53295000000003</v>
      </c>
      <c r="J212" s="21">
        <f t="shared" si="60"/>
        <v>455.90462499999995</v>
      </c>
    </row>
    <row r="213" spans="1:10" ht="60.75" customHeight="1">
      <c r="A213" s="7"/>
      <c r="B213" s="23" t="s">
        <v>227</v>
      </c>
      <c r="C213" s="17" t="s">
        <v>228</v>
      </c>
      <c r="D213" s="20"/>
      <c r="E213" s="21"/>
      <c r="F213" s="21"/>
      <c r="G213" s="22">
        <f>G214</f>
        <v>142.6</v>
      </c>
      <c r="H213" s="21">
        <f>H214</f>
        <v>158.9</v>
      </c>
      <c r="I213" s="21">
        <f t="shared" ref="I213:I283" si="91">H213-G213</f>
        <v>16.300000000000011</v>
      </c>
      <c r="J213" s="21">
        <f t="shared" ref="J213:J283" si="92">H213/G213*100</f>
        <v>111.43057503506313</v>
      </c>
    </row>
    <row r="214" spans="1:10" ht="39" customHeight="1">
      <c r="A214" s="7"/>
      <c r="B214" s="23" t="s">
        <v>20</v>
      </c>
      <c r="C214" s="17" t="s">
        <v>228</v>
      </c>
      <c r="D214" s="20">
        <v>600</v>
      </c>
      <c r="E214" s="21"/>
      <c r="F214" s="21"/>
      <c r="G214" s="22">
        <v>142.6</v>
      </c>
      <c r="H214" s="21">
        <f>157.3+1.6</f>
        <v>158.9</v>
      </c>
      <c r="I214" s="21">
        <f t="shared" si="91"/>
        <v>16.300000000000011</v>
      </c>
      <c r="J214" s="21">
        <f t="shared" si="92"/>
        <v>111.43057503506313</v>
      </c>
    </row>
    <row r="215" spans="1:10" ht="56.25" hidden="1">
      <c r="A215" s="7"/>
      <c r="B215" s="23" t="s">
        <v>229</v>
      </c>
      <c r="C215" s="17" t="s">
        <v>230</v>
      </c>
      <c r="D215" s="20"/>
      <c r="E215" s="21"/>
      <c r="F215" s="21"/>
      <c r="G215" s="22">
        <f>G216</f>
        <v>0</v>
      </c>
      <c r="H215" s="21">
        <f>H216</f>
        <v>0</v>
      </c>
      <c r="I215" s="21">
        <f t="shared" si="91"/>
        <v>0</v>
      </c>
      <c r="J215" s="21" t="e">
        <f t="shared" si="92"/>
        <v>#DIV/0!</v>
      </c>
    </row>
    <row r="216" spans="1:10" ht="27.75" hidden="1" customHeight="1">
      <c r="A216" s="7"/>
      <c r="B216" s="23" t="s">
        <v>20</v>
      </c>
      <c r="C216" s="17" t="s">
        <v>230</v>
      </c>
      <c r="D216" s="20">
        <v>600</v>
      </c>
      <c r="E216" s="21"/>
      <c r="F216" s="21"/>
      <c r="G216" s="22"/>
      <c r="H216" s="21"/>
      <c r="I216" s="21">
        <f t="shared" si="91"/>
        <v>0</v>
      </c>
      <c r="J216" s="21" t="e">
        <f t="shared" si="92"/>
        <v>#DIV/0!</v>
      </c>
    </row>
    <row r="217" spans="1:10" ht="23.25" customHeight="1">
      <c r="A217" s="7"/>
      <c r="B217" s="5" t="s">
        <v>186</v>
      </c>
      <c r="C217" s="17" t="s">
        <v>231</v>
      </c>
      <c r="D217" s="20"/>
      <c r="E217" s="21"/>
      <c r="F217" s="21"/>
      <c r="G217" s="22">
        <f>G218</f>
        <v>51.2</v>
      </c>
      <c r="H217" s="21"/>
      <c r="I217" s="21"/>
      <c r="J217" s="21"/>
    </row>
    <row r="218" spans="1:10" ht="37.5">
      <c r="A218" s="7"/>
      <c r="B218" s="23" t="s">
        <v>188</v>
      </c>
      <c r="C218" s="17" t="s">
        <v>232</v>
      </c>
      <c r="D218" s="20"/>
      <c r="E218" s="21"/>
      <c r="F218" s="21"/>
      <c r="G218" s="22">
        <f>G219</f>
        <v>51.2</v>
      </c>
      <c r="H218" s="21">
        <f>H219</f>
        <v>51.2</v>
      </c>
      <c r="I218" s="21">
        <f t="shared" si="91"/>
        <v>0</v>
      </c>
      <c r="J218" s="21">
        <f t="shared" si="92"/>
        <v>100</v>
      </c>
    </row>
    <row r="219" spans="1:10" ht="43.5" customHeight="1">
      <c r="A219" s="7"/>
      <c r="B219" s="23" t="s">
        <v>20</v>
      </c>
      <c r="C219" s="17" t="s">
        <v>232</v>
      </c>
      <c r="D219" s="20">
        <v>600</v>
      </c>
      <c r="E219" s="21"/>
      <c r="F219" s="21"/>
      <c r="G219" s="22">
        <v>51.2</v>
      </c>
      <c r="H219" s="21">
        <f>50.6+0.6</f>
        <v>51.2</v>
      </c>
      <c r="I219" s="21">
        <f t="shared" si="91"/>
        <v>0</v>
      </c>
      <c r="J219" s="21">
        <f t="shared" si="92"/>
        <v>100</v>
      </c>
    </row>
    <row r="220" spans="1:10" ht="42.75" hidden="1" customHeight="1">
      <c r="A220" s="7"/>
      <c r="B220" s="23" t="s">
        <v>233</v>
      </c>
      <c r="C220" s="17" t="s">
        <v>234</v>
      </c>
      <c r="D220" s="20" t="s">
        <v>15</v>
      </c>
      <c r="E220" s="21">
        <f>E223+E228+E231+E234</f>
        <v>18829.400000000001</v>
      </c>
      <c r="F220" s="21">
        <f>F223+F228+F231+F235</f>
        <v>25221.4</v>
      </c>
      <c r="G220" s="22">
        <f>G223+G228+G231+G235+G221</f>
        <v>0</v>
      </c>
      <c r="H220" s="21">
        <f>H223+H228+H231+H235+H221</f>
        <v>0</v>
      </c>
      <c r="I220" s="21">
        <f t="shared" si="91"/>
        <v>0</v>
      </c>
      <c r="J220" s="21" t="e">
        <f t="shared" si="92"/>
        <v>#DIV/0!</v>
      </c>
    </row>
    <row r="221" spans="1:10" ht="18.75" hidden="1">
      <c r="A221" s="7"/>
      <c r="B221" s="23" t="s">
        <v>235</v>
      </c>
      <c r="C221" s="17" t="s">
        <v>236</v>
      </c>
      <c r="D221" s="20"/>
      <c r="E221" s="21"/>
      <c r="F221" s="21"/>
      <c r="G221" s="22">
        <f>G222</f>
        <v>0</v>
      </c>
      <c r="H221" s="21">
        <f>H222</f>
        <v>0</v>
      </c>
      <c r="I221" s="21">
        <f t="shared" si="91"/>
        <v>0</v>
      </c>
      <c r="J221" s="21" t="e">
        <f t="shared" si="92"/>
        <v>#DIV/0!</v>
      </c>
    </row>
    <row r="222" spans="1:10" ht="37.5" hidden="1">
      <c r="A222" s="7"/>
      <c r="B222" s="23" t="s">
        <v>20</v>
      </c>
      <c r="C222" s="17" t="s">
        <v>236</v>
      </c>
      <c r="D222" s="20">
        <v>600</v>
      </c>
      <c r="E222" s="21"/>
      <c r="F222" s="21"/>
      <c r="G222" s="22"/>
      <c r="H222" s="21"/>
      <c r="I222" s="21">
        <f t="shared" si="91"/>
        <v>0</v>
      </c>
      <c r="J222" s="21" t="e">
        <f t="shared" si="92"/>
        <v>#DIV/0!</v>
      </c>
    </row>
    <row r="223" spans="1:10" ht="22.5" hidden="1" customHeight="1">
      <c r="A223" s="7"/>
      <c r="B223" s="23" t="s">
        <v>33</v>
      </c>
      <c r="C223" s="17" t="s">
        <v>237</v>
      </c>
      <c r="D223" s="20"/>
      <c r="E223" s="21">
        <f>E224+E226</f>
        <v>17493.099999999999</v>
      </c>
      <c r="F223" s="21">
        <f t="shared" ref="F223" si="93">F224+F226</f>
        <v>1123.7</v>
      </c>
      <c r="G223" s="22">
        <f t="shared" ref="G223" si="94">G224+G226</f>
        <v>0</v>
      </c>
      <c r="H223" s="21">
        <f t="shared" ref="H223" si="95">H224+H226</f>
        <v>0</v>
      </c>
      <c r="I223" s="21">
        <f t="shared" si="91"/>
        <v>0</v>
      </c>
      <c r="J223" s="21" t="e">
        <f t="shared" si="92"/>
        <v>#DIV/0!</v>
      </c>
    </row>
    <row r="224" spans="1:10" ht="37.5" hidden="1">
      <c r="A224" s="7"/>
      <c r="B224" s="23" t="s">
        <v>35</v>
      </c>
      <c r="C224" s="17" t="s">
        <v>238</v>
      </c>
      <c r="D224" s="20" t="s">
        <v>15</v>
      </c>
      <c r="E224" s="21">
        <f t="shared" ref="E224:H224" si="96">E225</f>
        <v>17434</v>
      </c>
      <c r="F224" s="21">
        <f t="shared" si="96"/>
        <v>0</v>
      </c>
      <c r="G224" s="22">
        <f t="shared" si="96"/>
        <v>0</v>
      </c>
      <c r="H224" s="21">
        <f t="shared" si="96"/>
        <v>0</v>
      </c>
      <c r="I224" s="21">
        <f t="shared" si="91"/>
        <v>0</v>
      </c>
      <c r="J224" s="21" t="e">
        <f t="shared" si="92"/>
        <v>#DIV/0!</v>
      </c>
    </row>
    <row r="225" spans="1:10" ht="37.5" hidden="1">
      <c r="A225" s="7"/>
      <c r="B225" s="23" t="s">
        <v>20</v>
      </c>
      <c r="C225" s="17" t="s">
        <v>238</v>
      </c>
      <c r="D225" s="20" t="s">
        <v>21</v>
      </c>
      <c r="E225" s="21">
        <f>18616.8-1123.7-59.1</f>
        <v>17434</v>
      </c>
      <c r="F225" s="21"/>
      <c r="G225" s="22">
        <f>25635.1-25635.1</f>
        <v>0</v>
      </c>
      <c r="H225" s="21">
        <f>25635.1-25635.1</f>
        <v>0</v>
      </c>
      <c r="I225" s="21">
        <f t="shared" si="91"/>
        <v>0</v>
      </c>
      <c r="J225" s="21" t="e">
        <f t="shared" si="92"/>
        <v>#DIV/0!</v>
      </c>
    </row>
    <row r="226" spans="1:10" ht="37.5" hidden="1">
      <c r="A226" s="7"/>
      <c r="B226" s="23" t="s">
        <v>39</v>
      </c>
      <c r="C226" s="17" t="s">
        <v>239</v>
      </c>
      <c r="D226" s="20"/>
      <c r="E226" s="21">
        <f t="shared" ref="E226:H226" si="97">E227</f>
        <v>59.1</v>
      </c>
      <c r="F226" s="21">
        <f t="shared" si="97"/>
        <v>1123.7</v>
      </c>
      <c r="G226" s="22">
        <f t="shared" si="97"/>
        <v>0</v>
      </c>
      <c r="H226" s="21">
        <f t="shared" si="97"/>
        <v>0</v>
      </c>
      <c r="I226" s="21">
        <f t="shared" si="91"/>
        <v>0</v>
      </c>
      <c r="J226" s="21" t="e">
        <f t="shared" si="92"/>
        <v>#DIV/0!</v>
      </c>
    </row>
    <row r="227" spans="1:10" ht="37.5" hidden="1">
      <c r="A227" s="7"/>
      <c r="B227" s="23" t="s">
        <v>20</v>
      </c>
      <c r="C227" s="17" t="s">
        <v>239</v>
      </c>
      <c r="D227" s="20">
        <v>600</v>
      </c>
      <c r="E227" s="21">
        <v>59.1</v>
      </c>
      <c r="F227" s="21">
        <v>1123.7</v>
      </c>
      <c r="G227" s="22"/>
      <c r="H227" s="21"/>
      <c r="I227" s="21">
        <f t="shared" si="91"/>
        <v>0</v>
      </c>
      <c r="J227" s="21" t="e">
        <f t="shared" si="92"/>
        <v>#DIV/0!</v>
      </c>
    </row>
    <row r="228" spans="1:10" ht="60.75" hidden="1" customHeight="1">
      <c r="A228" s="7"/>
      <c r="B228" s="23" t="s">
        <v>41</v>
      </c>
      <c r="C228" s="17" t="s">
        <v>240</v>
      </c>
      <c r="D228" s="20"/>
      <c r="E228" s="21">
        <f>E229</f>
        <v>0</v>
      </c>
      <c r="F228" s="21">
        <f t="shared" ref="F228:H228" si="98">F229</f>
        <v>425</v>
      </c>
      <c r="G228" s="22">
        <f t="shared" si="98"/>
        <v>0</v>
      </c>
      <c r="H228" s="21">
        <f t="shared" si="98"/>
        <v>0</v>
      </c>
      <c r="I228" s="21">
        <f t="shared" si="91"/>
        <v>0</v>
      </c>
      <c r="J228" s="21" t="e">
        <f t="shared" si="92"/>
        <v>#DIV/0!</v>
      </c>
    </row>
    <row r="229" spans="1:10" ht="25.5" hidden="1" customHeight="1">
      <c r="A229" s="7"/>
      <c r="B229" s="23" t="s">
        <v>46</v>
      </c>
      <c r="C229" s="17" t="s">
        <v>241</v>
      </c>
      <c r="D229" s="20"/>
      <c r="E229" s="21">
        <f t="shared" ref="E229:H229" si="99">E230</f>
        <v>0</v>
      </c>
      <c r="F229" s="21">
        <f t="shared" si="99"/>
        <v>425</v>
      </c>
      <c r="G229" s="22">
        <f t="shared" si="99"/>
        <v>0</v>
      </c>
      <c r="H229" s="21">
        <f t="shared" si="99"/>
        <v>0</v>
      </c>
      <c r="I229" s="21">
        <f t="shared" si="91"/>
        <v>0</v>
      </c>
      <c r="J229" s="21" t="e">
        <f t="shared" si="92"/>
        <v>#DIV/0!</v>
      </c>
    </row>
    <row r="230" spans="1:10" ht="40.5" hidden="1" customHeight="1">
      <c r="A230" s="7"/>
      <c r="B230" s="23" t="s">
        <v>20</v>
      </c>
      <c r="C230" s="17" t="s">
        <v>241</v>
      </c>
      <c r="D230" s="20">
        <v>600</v>
      </c>
      <c r="E230" s="21"/>
      <c r="F230" s="21">
        <v>425</v>
      </c>
      <c r="G230" s="22">
        <f>270-270</f>
        <v>0</v>
      </c>
      <c r="H230" s="21">
        <f>270-270</f>
        <v>0</v>
      </c>
      <c r="I230" s="21">
        <f t="shared" si="91"/>
        <v>0</v>
      </c>
      <c r="J230" s="21" t="e">
        <f t="shared" si="92"/>
        <v>#DIV/0!</v>
      </c>
    </row>
    <row r="231" spans="1:10" ht="56.25" hidden="1">
      <c r="A231" s="7"/>
      <c r="B231" s="23" t="s">
        <v>242</v>
      </c>
      <c r="C231" s="17" t="s">
        <v>243</v>
      </c>
      <c r="D231" s="20" t="s">
        <v>15</v>
      </c>
      <c r="E231" s="21">
        <f>E233</f>
        <v>1097.0999999999999</v>
      </c>
      <c r="F231" s="21">
        <f>F233</f>
        <v>0</v>
      </c>
      <c r="G231" s="22">
        <f>G233+G232</f>
        <v>0</v>
      </c>
      <c r="H231" s="21">
        <f>H233+H232</f>
        <v>0</v>
      </c>
      <c r="I231" s="21">
        <f t="shared" si="91"/>
        <v>0</v>
      </c>
      <c r="J231" s="21" t="e">
        <f t="shared" si="92"/>
        <v>#DIV/0!</v>
      </c>
    </row>
    <row r="232" spans="1:10" ht="37.5" hidden="1">
      <c r="A232" s="7"/>
      <c r="B232" s="23" t="s">
        <v>244</v>
      </c>
      <c r="C232" s="17" t="s">
        <v>243</v>
      </c>
      <c r="D232" s="20">
        <v>400</v>
      </c>
      <c r="E232" s="21"/>
      <c r="F232" s="21"/>
      <c r="G232" s="22"/>
      <c r="H232" s="21"/>
      <c r="I232" s="21">
        <f t="shared" si="91"/>
        <v>0</v>
      </c>
      <c r="J232" s="21" t="e">
        <f t="shared" si="92"/>
        <v>#DIV/0!</v>
      </c>
    </row>
    <row r="233" spans="1:10" ht="36" hidden="1" customHeight="1">
      <c r="A233" s="7"/>
      <c r="B233" s="23" t="s">
        <v>20</v>
      </c>
      <c r="C233" s="17" t="s">
        <v>243</v>
      </c>
      <c r="D233" s="20" t="s">
        <v>21</v>
      </c>
      <c r="E233" s="21">
        <f>850+247.1</f>
        <v>1097.0999999999999</v>
      </c>
      <c r="F233" s="21"/>
      <c r="G233" s="22"/>
      <c r="H233" s="21"/>
      <c r="I233" s="21">
        <f t="shared" si="91"/>
        <v>0</v>
      </c>
      <c r="J233" s="21" t="e">
        <f t="shared" si="92"/>
        <v>#DIV/0!</v>
      </c>
    </row>
    <row r="234" spans="1:10" ht="40.5" hidden="1" customHeight="1">
      <c r="A234" s="7"/>
      <c r="B234" s="23" t="s">
        <v>182</v>
      </c>
      <c r="C234" s="17" t="s">
        <v>245</v>
      </c>
      <c r="D234" s="20"/>
      <c r="E234" s="21">
        <f>E235</f>
        <v>239.2</v>
      </c>
      <c r="F234" s="21">
        <f t="shared" ref="F234:H234" si="100">F235</f>
        <v>23672.7</v>
      </c>
      <c r="G234" s="22">
        <f t="shared" si="100"/>
        <v>0</v>
      </c>
      <c r="H234" s="21">
        <f t="shared" si="100"/>
        <v>0</v>
      </c>
      <c r="I234" s="21">
        <f t="shared" si="91"/>
        <v>0</v>
      </c>
      <c r="J234" s="21" t="e">
        <f t="shared" si="92"/>
        <v>#DIV/0!</v>
      </c>
    </row>
    <row r="235" spans="1:10" ht="78.75" hidden="1" customHeight="1">
      <c r="A235" s="7"/>
      <c r="B235" s="23" t="s">
        <v>246</v>
      </c>
      <c r="C235" s="17" t="s">
        <v>247</v>
      </c>
      <c r="D235" s="20"/>
      <c r="E235" s="21">
        <f>E236</f>
        <v>239.2</v>
      </c>
      <c r="F235" s="21">
        <f>F236</f>
        <v>23672.7</v>
      </c>
      <c r="G235" s="22">
        <f>G236</f>
        <v>0</v>
      </c>
      <c r="H235" s="21">
        <f>H236</f>
        <v>0</v>
      </c>
      <c r="I235" s="21">
        <f t="shared" si="91"/>
        <v>0</v>
      </c>
      <c r="J235" s="21" t="e">
        <f t="shared" si="92"/>
        <v>#DIV/0!</v>
      </c>
    </row>
    <row r="236" spans="1:10" ht="37.5" hidden="1">
      <c r="A236" s="7"/>
      <c r="B236" s="23" t="s">
        <v>20</v>
      </c>
      <c r="C236" s="17" t="s">
        <v>247</v>
      </c>
      <c r="D236" s="20">
        <v>600</v>
      </c>
      <c r="E236" s="21">
        <v>239.2</v>
      </c>
      <c r="F236" s="21">
        <v>23672.7</v>
      </c>
      <c r="G236" s="22"/>
      <c r="H236" s="21"/>
      <c r="I236" s="21">
        <f t="shared" si="91"/>
        <v>0</v>
      </c>
      <c r="J236" s="21" t="e">
        <f t="shared" si="92"/>
        <v>#DIV/0!</v>
      </c>
    </row>
    <row r="237" spans="1:10" ht="37.5">
      <c r="A237" s="7"/>
      <c r="B237" s="23" t="s">
        <v>248</v>
      </c>
      <c r="C237" s="17" t="s">
        <v>249</v>
      </c>
      <c r="D237" s="20" t="s">
        <v>15</v>
      </c>
      <c r="E237" s="21">
        <f t="shared" ref="E237:F237" si="101">E238+E243+E248</f>
        <v>20404.5</v>
      </c>
      <c r="F237" s="21">
        <f t="shared" si="101"/>
        <v>0</v>
      </c>
      <c r="G237" s="22">
        <f>G238+G243+G248+G254</f>
        <v>46265.341650000002</v>
      </c>
      <c r="H237" s="21">
        <f t="shared" ref="H237" si="102">H238+H243+H248</f>
        <v>19751.036240000001</v>
      </c>
      <c r="I237" s="21">
        <f t="shared" si="91"/>
        <v>-26514.305410000001</v>
      </c>
      <c r="J237" s="21">
        <f t="shared" si="92"/>
        <v>42.690782204566304</v>
      </c>
    </row>
    <row r="238" spans="1:10" ht="37.5">
      <c r="A238" s="7"/>
      <c r="B238" s="23" t="s">
        <v>250</v>
      </c>
      <c r="C238" s="17" t="s">
        <v>251</v>
      </c>
      <c r="D238" s="20"/>
      <c r="E238" s="21">
        <f t="shared" ref="E238:H238" si="103">E239</f>
        <v>1715.5</v>
      </c>
      <c r="F238" s="21">
        <f t="shared" si="103"/>
        <v>0</v>
      </c>
      <c r="G238" s="22">
        <f t="shared" si="103"/>
        <v>3310.5216499999997</v>
      </c>
      <c r="H238" s="21">
        <f t="shared" si="103"/>
        <v>2061.2943500000001</v>
      </c>
      <c r="I238" s="21">
        <f t="shared" si="91"/>
        <v>-1249.2272999999996</v>
      </c>
      <c r="J238" s="21">
        <f t="shared" si="92"/>
        <v>62.264940934610721</v>
      </c>
    </row>
    <row r="239" spans="1:10" ht="18.75">
      <c r="A239" s="7"/>
      <c r="B239" s="23" t="s">
        <v>145</v>
      </c>
      <c r="C239" s="17" t="s">
        <v>252</v>
      </c>
      <c r="D239" s="20" t="s">
        <v>15</v>
      </c>
      <c r="E239" s="21">
        <f t="shared" ref="E239:F239" si="104">E240+E241+E242</f>
        <v>1715.5</v>
      </c>
      <c r="F239" s="21">
        <f t="shared" si="104"/>
        <v>0</v>
      </c>
      <c r="G239" s="22">
        <f t="shared" ref="G239" si="105">G240+G241+G242</f>
        <v>3310.5216499999997</v>
      </c>
      <c r="H239" s="21">
        <f t="shared" ref="H239" si="106">H240+H241+H242</f>
        <v>2061.2943500000001</v>
      </c>
      <c r="I239" s="21">
        <f t="shared" si="91"/>
        <v>-1249.2272999999996</v>
      </c>
      <c r="J239" s="21">
        <f t="shared" si="92"/>
        <v>62.264940934610721</v>
      </c>
    </row>
    <row r="240" spans="1:10" ht="63.75" customHeight="1">
      <c r="A240" s="7"/>
      <c r="B240" s="23" t="s">
        <v>147</v>
      </c>
      <c r="C240" s="17" t="s">
        <v>252</v>
      </c>
      <c r="D240" s="20" t="s">
        <v>148</v>
      </c>
      <c r="E240" s="21">
        <v>1662.8</v>
      </c>
      <c r="F240" s="21"/>
      <c r="G240" s="22">
        <v>2547.6</v>
      </c>
      <c r="H240" s="21">
        <v>1977.2474999999999</v>
      </c>
      <c r="I240" s="21">
        <f t="shared" si="91"/>
        <v>-570.35249999999996</v>
      </c>
      <c r="J240" s="21">
        <f t="shared" si="92"/>
        <v>77.612164390014129</v>
      </c>
    </row>
    <row r="241" spans="1:10" ht="37.5">
      <c r="A241" s="7"/>
      <c r="B241" s="23" t="s">
        <v>32</v>
      </c>
      <c r="C241" s="17" t="s">
        <v>252</v>
      </c>
      <c r="D241" s="20" t="s">
        <v>149</v>
      </c>
      <c r="E241" s="21">
        <v>51.7</v>
      </c>
      <c r="F241" s="21"/>
      <c r="G241" s="22">
        <f>962.42165-200</f>
        <v>762.42165</v>
      </c>
      <c r="H241" s="21">
        <v>83.732529999999997</v>
      </c>
      <c r="I241" s="21">
        <f t="shared" si="91"/>
        <v>-678.68912</v>
      </c>
      <c r="J241" s="21">
        <f t="shared" si="92"/>
        <v>10.982443900956905</v>
      </c>
    </row>
    <row r="242" spans="1:10" ht="18.75">
      <c r="A242" s="7"/>
      <c r="B242" s="23" t="s">
        <v>121</v>
      </c>
      <c r="C242" s="17" t="s">
        <v>252</v>
      </c>
      <c r="D242" s="20" t="s">
        <v>150</v>
      </c>
      <c r="E242" s="21">
        <v>1</v>
      </c>
      <c r="F242" s="21"/>
      <c r="G242" s="22">
        <v>0.5</v>
      </c>
      <c r="H242" s="21">
        <v>0.31431999999999999</v>
      </c>
      <c r="I242" s="21">
        <f t="shared" si="91"/>
        <v>-0.18568000000000001</v>
      </c>
      <c r="J242" s="21">
        <f t="shared" si="92"/>
        <v>62.863999999999997</v>
      </c>
    </row>
    <row r="243" spans="1:10" ht="56.25">
      <c r="A243" s="7"/>
      <c r="B243" s="23" t="s">
        <v>253</v>
      </c>
      <c r="C243" s="17" t="s">
        <v>254</v>
      </c>
      <c r="D243" s="20"/>
      <c r="E243" s="21">
        <f t="shared" ref="E243:H243" si="107">E244</f>
        <v>3537.7</v>
      </c>
      <c r="F243" s="21">
        <f t="shared" si="107"/>
        <v>0</v>
      </c>
      <c r="G243" s="22">
        <f t="shared" si="107"/>
        <v>5945.6</v>
      </c>
      <c r="H243" s="21">
        <f t="shared" si="107"/>
        <v>3210.0226400000001</v>
      </c>
      <c r="I243" s="21">
        <f t="shared" si="91"/>
        <v>-2735.5773600000002</v>
      </c>
      <c r="J243" s="21">
        <f t="shared" si="92"/>
        <v>53.989885629709363</v>
      </c>
    </row>
    <row r="244" spans="1:10" ht="37.5">
      <c r="A244" s="7"/>
      <c r="B244" s="23" t="s">
        <v>255</v>
      </c>
      <c r="C244" s="17" t="s">
        <v>256</v>
      </c>
      <c r="D244" s="20" t="s">
        <v>15</v>
      </c>
      <c r="E244" s="21">
        <f t="shared" ref="E244:F244" si="108">E245+E246+E247</f>
        <v>3537.7</v>
      </c>
      <c r="F244" s="21">
        <f t="shared" si="108"/>
        <v>0</v>
      </c>
      <c r="G244" s="22">
        <f t="shared" ref="G244" si="109">G245+G246+G247</f>
        <v>5945.6</v>
      </c>
      <c r="H244" s="21">
        <f t="shared" ref="H244" si="110">H245+H246+H247</f>
        <v>3210.0226400000001</v>
      </c>
      <c r="I244" s="21">
        <f t="shared" si="91"/>
        <v>-2735.5773600000002</v>
      </c>
      <c r="J244" s="21">
        <f t="shared" si="92"/>
        <v>53.989885629709363</v>
      </c>
    </row>
    <row r="245" spans="1:10" ht="61.5" customHeight="1">
      <c r="A245" s="7"/>
      <c r="B245" s="23" t="s">
        <v>147</v>
      </c>
      <c r="C245" s="17" t="s">
        <v>256</v>
      </c>
      <c r="D245" s="20" t="s">
        <v>148</v>
      </c>
      <c r="E245" s="21">
        <v>3376.6</v>
      </c>
      <c r="F245" s="21"/>
      <c r="G245" s="22">
        <v>5084.7</v>
      </c>
      <c r="H245" s="21">
        <v>2705.3734300000001</v>
      </c>
      <c r="I245" s="21">
        <f t="shared" si="91"/>
        <v>-2379.3265699999997</v>
      </c>
      <c r="J245" s="21">
        <f t="shared" si="92"/>
        <v>53.206156312073482</v>
      </c>
    </row>
    <row r="246" spans="1:10" ht="37.5">
      <c r="A246" s="7"/>
      <c r="B246" s="23" t="s">
        <v>32</v>
      </c>
      <c r="C246" s="17" t="s">
        <v>256</v>
      </c>
      <c r="D246" s="20" t="s">
        <v>149</v>
      </c>
      <c r="E246" s="21">
        <v>159.4</v>
      </c>
      <c r="F246" s="21"/>
      <c r="G246" s="22">
        <v>837.7</v>
      </c>
      <c r="H246" s="21">
        <v>486.47448000000003</v>
      </c>
      <c r="I246" s="21">
        <f t="shared" si="91"/>
        <v>-351.22552000000002</v>
      </c>
      <c r="J246" s="21">
        <f t="shared" si="92"/>
        <v>58.072636982213197</v>
      </c>
    </row>
    <row r="247" spans="1:10" ht="18.75">
      <c r="A247" s="7"/>
      <c r="B247" s="23" t="s">
        <v>121</v>
      </c>
      <c r="C247" s="17" t="s">
        <v>256</v>
      </c>
      <c r="D247" s="20" t="s">
        <v>150</v>
      </c>
      <c r="E247" s="21">
        <v>1.7</v>
      </c>
      <c r="F247" s="21"/>
      <c r="G247" s="22">
        <v>23.2</v>
      </c>
      <c r="H247" s="21">
        <v>18.17473</v>
      </c>
      <c r="I247" s="21">
        <f t="shared" si="91"/>
        <v>-5.025269999999999</v>
      </c>
      <c r="J247" s="21">
        <f t="shared" si="92"/>
        <v>78.339353448275858</v>
      </c>
    </row>
    <row r="248" spans="1:10" ht="60" customHeight="1">
      <c r="A248" s="7"/>
      <c r="B248" s="23" t="s">
        <v>257</v>
      </c>
      <c r="C248" s="17" t="s">
        <v>258</v>
      </c>
      <c r="D248" s="20"/>
      <c r="E248" s="21">
        <f t="shared" ref="E248:H248" si="111">E249</f>
        <v>15151.3</v>
      </c>
      <c r="F248" s="21">
        <f t="shared" si="111"/>
        <v>0</v>
      </c>
      <c r="G248" s="22">
        <f t="shared" si="111"/>
        <v>26913.620000000003</v>
      </c>
      <c r="H248" s="21">
        <f t="shared" si="111"/>
        <v>14479.71925</v>
      </c>
      <c r="I248" s="21">
        <f t="shared" si="91"/>
        <v>-12433.900750000003</v>
      </c>
      <c r="J248" s="21">
        <f t="shared" si="92"/>
        <v>53.800712241608515</v>
      </c>
    </row>
    <row r="249" spans="1:10" ht="37.5">
      <c r="A249" s="7"/>
      <c r="B249" s="23" t="s">
        <v>255</v>
      </c>
      <c r="C249" s="17" t="s">
        <v>259</v>
      </c>
      <c r="D249" s="20" t="s">
        <v>15</v>
      </c>
      <c r="E249" s="21">
        <f>E250+E251+E252</f>
        <v>15151.3</v>
      </c>
      <c r="F249" s="21">
        <f>F250+F251+F252</f>
        <v>0</v>
      </c>
      <c r="G249" s="22">
        <f>G250+G251+G252+G253</f>
        <v>26913.620000000003</v>
      </c>
      <c r="H249" s="21">
        <f>H250+H251+H252+H253</f>
        <v>14479.71925</v>
      </c>
      <c r="I249" s="21">
        <f t="shared" si="91"/>
        <v>-12433.900750000003</v>
      </c>
      <c r="J249" s="21">
        <f t="shared" si="92"/>
        <v>53.800712241608515</v>
      </c>
    </row>
    <row r="250" spans="1:10" ht="60" customHeight="1">
      <c r="A250" s="7"/>
      <c r="B250" s="23" t="s">
        <v>147</v>
      </c>
      <c r="C250" s="17" t="s">
        <v>259</v>
      </c>
      <c r="D250" s="20" t="s">
        <v>148</v>
      </c>
      <c r="E250" s="21">
        <v>14640.8</v>
      </c>
      <c r="F250" s="21"/>
      <c r="G250" s="22">
        <f>25910.72-265.946</f>
        <v>25644.774000000001</v>
      </c>
      <c r="H250" s="21">
        <v>13608.02867</v>
      </c>
      <c r="I250" s="21">
        <f t="shared" si="91"/>
        <v>-12036.745330000002</v>
      </c>
      <c r="J250" s="21">
        <f t="shared" si="92"/>
        <v>53.063554664197852</v>
      </c>
    </row>
    <row r="251" spans="1:10" ht="37.5">
      <c r="A251" s="7"/>
      <c r="B251" s="23" t="s">
        <v>32</v>
      </c>
      <c r="C251" s="17" t="s">
        <v>259</v>
      </c>
      <c r="D251" s="20" t="s">
        <v>149</v>
      </c>
      <c r="E251" s="21">
        <v>499</v>
      </c>
      <c r="F251" s="21"/>
      <c r="G251" s="22">
        <f>987.9+265.946</f>
        <v>1253.846</v>
      </c>
      <c r="H251" s="21">
        <v>516.37276999999995</v>
      </c>
      <c r="I251" s="21">
        <f t="shared" si="91"/>
        <v>-737.47323000000006</v>
      </c>
      <c r="J251" s="21">
        <f t="shared" si="92"/>
        <v>41.183109408970473</v>
      </c>
    </row>
    <row r="252" spans="1:10" ht="18.75">
      <c r="A252" s="7"/>
      <c r="B252" s="23" t="s">
        <v>121</v>
      </c>
      <c r="C252" s="17" t="s">
        <v>259</v>
      </c>
      <c r="D252" s="20" t="s">
        <v>150</v>
      </c>
      <c r="E252" s="21">
        <v>11.5</v>
      </c>
      <c r="F252" s="21"/>
      <c r="G252" s="22">
        <v>15</v>
      </c>
      <c r="H252" s="21">
        <v>11.31761</v>
      </c>
      <c r="I252" s="21">
        <f t="shared" si="91"/>
        <v>-3.6823899999999998</v>
      </c>
      <c r="J252" s="21">
        <f t="shared" si="92"/>
        <v>75.450733333333332</v>
      </c>
    </row>
    <row r="253" spans="1:10" ht="60.75" customHeight="1">
      <c r="A253" s="7"/>
      <c r="B253" s="23" t="s">
        <v>147</v>
      </c>
      <c r="C253" s="17" t="s">
        <v>260</v>
      </c>
      <c r="D253" s="20">
        <v>100</v>
      </c>
      <c r="E253" s="21"/>
      <c r="F253" s="21"/>
      <c r="G253" s="22">
        <v>0</v>
      </c>
      <c r="H253" s="21">
        <v>344.00020000000001</v>
      </c>
      <c r="I253" s="21">
        <f t="shared" si="91"/>
        <v>344.00020000000001</v>
      </c>
      <c r="J253" s="21" t="e">
        <f t="shared" si="92"/>
        <v>#DIV/0!</v>
      </c>
    </row>
    <row r="254" spans="1:10" ht="22.5" customHeight="1">
      <c r="A254" s="7"/>
      <c r="B254" s="23" t="s">
        <v>209</v>
      </c>
      <c r="C254" s="17" t="s">
        <v>261</v>
      </c>
      <c r="D254" s="20"/>
      <c r="E254" s="21"/>
      <c r="F254" s="21"/>
      <c r="G254" s="22">
        <f>G255</f>
        <v>10095.6</v>
      </c>
      <c r="H254" s="21"/>
      <c r="I254" s="21"/>
      <c r="J254" s="21"/>
    </row>
    <row r="255" spans="1:10" ht="60.75" customHeight="1">
      <c r="A255" s="7"/>
      <c r="B255" s="23" t="s">
        <v>262</v>
      </c>
      <c r="C255" s="17" t="s">
        <v>263</v>
      </c>
      <c r="D255" s="20"/>
      <c r="E255" s="21"/>
      <c r="F255" s="21"/>
      <c r="G255" s="22">
        <f>G256</f>
        <v>10095.6</v>
      </c>
      <c r="H255" s="21"/>
      <c r="I255" s="21"/>
      <c r="J255" s="21"/>
    </row>
    <row r="256" spans="1:10" ht="39.75" customHeight="1">
      <c r="A256" s="7"/>
      <c r="B256" s="23" t="s">
        <v>20</v>
      </c>
      <c r="C256" s="17" t="s">
        <v>263</v>
      </c>
      <c r="D256" s="20">
        <v>600</v>
      </c>
      <c r="E256" s="21"/>
      <c r="F256" s="21"/>
      <c r="G256" s="22">
        <v>10095.6</v>
      </c>
      <c r="H256" s="21"/>
      <c r="I256" s="21"/>
      <c r="J256" s="21"/>
    </row>
    <row r="257" spans="1:10" ht="62.25" customHeight="1">
      <c r="A257" s="11">
        <v>3</v>
      </c>
      <c r="B257" s="31" t="s">
        <v>264</v>
      </c>
      <c r="C257" s="13" t="s">
        <v>265</v>
      </c>
      <c r="D257" s="14"/>
      <c r="E257" s="15">
        <f>E258+E260</f>
        <v>15</v>
      </c>
      <c r="F257" s="15">
        <f>F258</f>
        <v>0</v>
      </c>
      <c r="G257" s="29">
        <f>G258+G260</f>
        <v>10.799999999999997</v>
      </c>
      <c r="H257" s="15">
        <f>H258+H260</f>
        <v>5</v>
      </c>
      <c r="I257" s="15">
        <f t="shared" si="91"/>
        <v>-5.7999999999999972</v>
      </c>
      <c r="J257" s="15">
        <f t="shared" si="92"/>
        <v>46.296296296296305</v>
      </c>
    </row>
    <row r="258" spans="1:10" ht="37.5">
      <c r="A258" s="7"/>
      <c r="B258" s="23" t="s">
        <v>266</v>
      </c>
      <c r="C258" s="17" t="s">
        <v>267</v>
      </c>
      <c r="D258" s="20"/>
      <c r="E258" s="21">
        <f>E259</f>
        <v>10</v>
      </c>
      <c r="F258" s="21">
        <f>F259</f>
        <v>0</v>
      </c>
      <c r="G258" s="22">
        <f>G259</f>
        <v>10.799999999999997</v>
      </c>
      <c r="H258" s="21">
        <f>H259</f>
        <v>0</v>
      </c>
      <c r="I258" s="15">
        <f t="shared" si="91"/>
        <v>-10.799999999999997</v>
      </c>
      <c r="J258" s="15">
        <f t="shared" si="92"/>
        <v>0</v>
      </c>
    </row>
    <row r="259" spans="1:10" ht="37.5">
      <c r="A259" s="7"/>
      <c r="B259" s="23" t="s">
        <v>32</v>
      </c>
      <c r="C259" s="17" t="s">
        <v>267</v>
      </c>
      <c r="D259" s="20">
        <v>200</v>
      </c>
      <c r="E259" s="21">
        <v>10</v>
      </c>
      <c r="F259" s="21"/>
      <c r="G259" s="22">
        <f>50.8-40</f>
        <v>10.799999999999997</v>
      </c>
      <c r="H259" s="21"/>
      <c r="I259" s="15">
        <f t="shared" si="91"/>
        <v>-10.799999999999997</v>
      </c>
      <c r="J259" s="15">
        <f t="shared" si="92"/>
        <v>0</v>
      </c>
    </row>
    <row r="260" spans="1:10" ht="37.5" hidden="1">
      <c r="A260" s="7"/>
      <c r="B260" s="23" t="s">
        <v>268</v>
      </c>
      <c r="C260" s="17" t="s">
        <v>269</v>
      </c>
      <c r="D260" s="20"/>
      <c r="E260" s="21">
        <f>E261</f>
        <v>5</v>
      </c>
      <c r="F260" s="21">
        <f t="shared" ref="F260:H260" si="112">F261</f>
        <v>0</v>
      </c>
      <c r="G260" s="22">
        <f t="shared" si="112"/>
        <v>0</v>
      </c>
      <c r="H260" s="21">
        <f t="shared" si="112"/>
        <v>5</v>
      </c>
      <c r="I260" s="21">
        <f t="shared" si="91"/>
        <v>5</v>
      </c>
      <c r="J260" s="21" t="e">
        <f t="shared" si="92"/>
        <v>#DIV/0!</v>
      </c>
    </row>
    <row r="261" spans="1:10" ht="37.5" hidden="1">
      <c r="A261" s="7"/>
      <c r="B261" s="23" t="s">
        <v>32</v>
      </c>
      <c r="C261" s="17" t="s">
        <v>269</v>
      </c>
      <c r="D261" s="20">
        <v>200</v>
      </c>
      <c r="E261" s="21">
        <v>5</v>
      </c>
      <c r="F261" s="21"/>
      <c r="G261" s="22">
        <f>5-5</f>
        <v>0</v>
      </c>
      <c r="H261" s="21">
        <v>5</v>
      </c>
      <c r="I261" s="21">
        <f t="shared" si="91"/>
        <v>5</v>
      </c>
      <c r="J261" s="21" t="e">
        <f t="shared" si="92"/>
        <v>#DIV/0!</v>
      </c>
    </row>
    <row r="262" spans="1:10" ht="37.5">
      <c r="A262" s="11">
        <v>4</v>
      </c>
      <c r="B262" s="12" t="s">
        <v>270</v>
      </c>
      <c r="C262" s="13" t="s">
        <v>271</v>
      </c>
      <c r="D262" s="14" t="s">
        <v>15</v>
      </c>
      <c r="E262" s="15">
        <f>E263+E273</f>
        <v>8151.7999999999993</v>
      </c>
      <c r="F262" s="15">
        <f t="shared" ref="F262" si="113">F263+F273</f>
        <v>4795.6000000000004</v>
      </c>
      <c r="G262" s="29">
        <f t="shared" ref="G262" si="114">G263+G273</f>
        <v>20022.830999999998</v>
      </c>
      <c r="H262" s="15">
        <f t="shared" ref="H262" si="115">H263+H273</f>
        <v>15039.487089999999</v>
      </c>
      <c r="I262" s="15">
        <f t="shared" si="91"/>
        <v>-4983.3439099999996</v>
      </c>
      <c r="J262" s="15">
        <f t="shared" si="92"/>
        <v>75.111691698341758</v>
      </c>
    </row>
    <row r="263" spans="1:10" ht="56.25">
      <c r="A263" s="7"/>
      <c r="B263" s="23" t="s">
        <v>272</v>
      </c>
      <c r="C263" s="17" t="s">
        <v>273</v>
      </c>
      <c r="D263" s="20"/>
      <c r="E263" s="21">
        <f>E264</f>
        <v>2158.1</v>
      </c>
      <c r="F263" s="21">
        <f t="shared" ref="F263" si="116">F264</f>
        <v>4795.6000000000004</v>
      </c>
      <c r="G263" s="22">
        <f>G264+G269</f>
        <v>12037.92</v>
      </c>
      <c r="H263" s="21">
        <f>H264+H269</f>
        <v>10230.035</v>
      </c>
      <c r="I263" s="21">
        <f t="shared" si="91"/>
        <v>-1807.8850000000002</v>
      </c>
      <c r="J263" s="21">
        <f t="shared" si="92"/>
        <v>84.981749338756202</v>
      </c>
    </row>
    <row r="264" spans="1:10" ht="18.75">
      <c r="A264" s="7"/>
      <c r="B264" s="23" t="s">
        <v>274</v>
      </c>
      <c r="C264" s="17" t="s">
        <v>275</v>
      </c>
      <c r="D264" s="20" t="s">
        <v>15</v>
      </c>
      <c r="E264" s="21">
        <f t="shared" ref="E264:F264" si="117">E267+E266</f>
        <v>2158.1</v>
      </c>
      <c r="F264" s="21">
        <f t="shared" si="117"/>
        <v>4795.6000000000004</v>
      </c>
      <c r="G264" s="22">
        <f>G267+G266+G271</f>
        <v>6951.4</v>
      </c>
      <c r="H264" s="21">
        <f>H267+H266+H271</f>
        <v>10230.035</v>
      </c>
      <c r="I264" s="21">
        <f t="shared" si="91"/>
        <v>3278.6350000000002</v>
      </c>
      <c r="J264" s="21">
        <f t="shared" si="92"/>
        <v>147.16510343240213</v>
      </c>
    </row>
    <row r="265" spans="1:10" ht="41.25" customHeight="1">
      <c r="A265" s="7"/>
      <c r="B265" s="23" t="s">
        <v>276</v>
      </c>
      <c r="C265" s="17" t="s">
        <v>277</v>
      </c>
      <c r="D265" s="20" t="s">
        <v>15</v>
      </c>
      <c r="E265" s="21">
        <f>E266</f>
        <v>0</v>
      </c>
      <c r="F265" s="21">
        <f>F266</f>
        <v>4795.6000000000004</v>
      </c>
      <c r="G265" s="22">
        <f>G266</f>
        <v>4790</v>
      </c>
      <c r="H265" s="21">
        <f>H266</f>
        <v>3609</v>
      </c>
      <c r="I265" s="21">
        <f t="shared" si="91"/>
        <v>-1181</v>
      </c>
      <c r="J265" s="21">
        <f t="shared" si="92"/>
        <v>75.34446764091858</v>
      </c>
    </row>
    <row r="266" spans="1:10" ht="18.75">
      <c r="A266" s="7"/>
      <c r="B266" s="23" t="s">
        <v>278</v>
      </c>
      <c r="C266" s="17" t="s">
        <v>277</v>
      </c>
      <c r="D266" s="20" t="s">
        <v>279</v>
      </c>
      <c r="E266" s="21"/>
      <c r="F266" s="21">
        <v>4795.6000000000004</v>
      </c>
      <c r="G266" s="22">
        <v>4790</v>
      </c>
      <c r="H266" s="21">
        <v>3609</v>
      </c>
      <c r="I266" s="21">
        <f t="shared" si="91"/>
        <v>-1181</v>
      </c>
      <c r="J266" s="21">
        <f t="shared" si="92"/>
        <v>75.34446764091858</v>
      </c>
    </row>
    <row r="267" spans="1:10" ht="42.75" customHeight="1">
      <c r="A267" s="7"/>
      <c r="B267" s="23" t="s">
        <v>280</v>
      </c>
      <c r="C267" s="17" t="s">
        <v>281</v>
      </c>
      <c r="D267" s="20" t="s">
        <v>15</v>
      </c>
      <c r="E267" s="21">
        <f t="shared" ref="E267:H267" si="118">E268</f>
        <v>2158.1</v>
      </c>
      <c r="F267" s="21">
        <f t="shared" si="118"/>
        <v>0</v>
      </c>
      <c r="G267" s="22">
        <f t="shared" si="118"/>
        <v>2161.4</v>
      </c>
      <c r="H267" s="21">
        <f t="shared" si="118"/>
        <v>1621.0350000000001</v>
      </c>
      <c r="I267" s="21">
        <f t="shared" si="91"/>
        <v>-540.36500000000001</v>
      </c>
      <c r="J267" s="21">
        <f t="shared" si="92"/>
        <v>74.99930600536689</v>
      </c>
    </row>
    <row r="268" spans="1:10" ht="17.100000000000001" customHeight="1">
      <c r="A268" s="7"/>
      <c r="B268" s="23" t="s">
        <v>278</v>
      </c>
      <c r="C268" s="17" t="s">
        <v>281</v>
      </c>
      <c r="D268" s="20" t="s">
        <v>279</v>
      </c>
      <c r="E268" s="21">
        <v>2158.1</v>
      </c>
      <c r="F268" s="21"/>
      <c r="G268" s="22">
        <v>2161.4</v>
      </c>
      <c r="H268" s="21">
        <v>1621.0350000000001</v>
      </c>
      <c r="I268" s="21">
        <f t="shared" si="91"/>
        <v>-540.36500000000001</v>
      </c>
      <c r="J268" s="21">
        <f t="shared" si="92"/>
        <v>74.99930600536689</v>
      </c>
    </row>
    <row r="269" spans="1:10" ht="37.5">
      <c r="A269" s="7"/>
      <c r="B269" s="23" t="s">
        <v>282</v>
      </c>
      <c r="C269" s="17" t="s">
        <v>283</v>
      </c>
      <c r="D269" s="20"/>
      <c r="E269" s="21"/>
      <c r="F269" s="21"/>
      <c r="G269" s="22">
        <f>G270</f>
        <v>5086.5200000000004</v>
      </c>
      <c r="H269" s="21">
        <f>H270</f>
        <v>0</v>
      </c>
      <c r="I269" s="21">
        <f t="shared" si="91"/>
        <v>-5086.5200000000004</v>
      </c>
      <c r="J269" s="21">
        <f t="shared" si="92"/>
        <v>0</v>
      </c>
    </row>
    <row r="270" spans="1:10" ht="18.75">
      <c r="A270" s="7"/>
      <c r="B270" s="23" t="s">
        <v>278</v>
      </c>
      <c r="C270" s="17" t="s">
        <v>283</v>
      </c>
      <c r="D270" s="20" t="s">
        <v>279</v>
      </c>
      <c r="E270" s="21"/>
      <c r="F270" s="21"/>
      <c r="G270" s="22">
        <v>5086.5200000000004</v>
      </c>
      <c r="H270" s="21"/>
      <c r="I270" s="21">
        <f t="shared" si="91"/>
        <v>-5086.5200000000004</v>
      </c>
      <c r="J270" s="21">
        <f t="shared" si="92"/>
        <v>0</v>
      </c>
    </row>
    <row r="271" spans="1:10" ht="37.5" hidden="1">
      <c r="A271" s="7"/>
      <c r="B271" s="23" t="s">
        <v>282</v>
      </c>
      <c r="C271" s="17" t="s">
        <v>284</v>
      </c>
      <c r="D271" s="20"/>
      <c r="E271" s="21"/>
      <c r="F271" s="21"/>
      <c r="G271" s="22">
        <f>G272</f>
        <v>0</v>
      </c>
      <c r="H271" s="21">
        <f>H272</f>
        <v>5000</v>
      </c>
      <c r="I271" s="21">
        <f t="shared" si="91"/>
        <v>5000</v>
      </c>
      <c r="J271" s="21" t="e">
        <f t="shared" si="92"/>
        <v>#DIV/0!</v>
      </c>
    </row>
    <row r="272" spans="1:10" ht="18.75" hidden="1">
      <c r="A272" s="7"/>
      <c r="B272" s="23" t="s">
        <v>278</v>
      </c>
      <c r="C272" s="17" t="s">
        <v>284</v>
      </c>
      <c r="D272" s="20">
        <v>500</v>
      </c>
      <c r="E272" s="21"/>
      <c r="F272" s="21"/>
      <c r="G272" s="22">
        <v>0</v>
      </c>
      <c r="H272" s="21">
        <v>5000</v>
      </c>
      <c r="I272" s="21">
        <f t="shared" si="91"/>
        <v>5000</v>
      </c>
      <c r="J272" s="21" t="e">
        <f t="shared" si="92"/>
        <v>#DIV/0!</v>
      </c>
    </row>
    <row r="273" spans="1:11" ht="57" customHeight="1">
      <c r="A273" s="7"/>
      <c r="B273" s="16" t="s">
        <v>285</v>
      </c>
      <c r="C273" s="17" t="s">
        <v>286</v>
      </c>
      <c r="D273" s="20" t="s">
        <v>15</v>
      </c>
      <c r="E273" s="21">
        <f t="shared" ref="E273:H274" si="119">E274</f>
        <v>5993.7</v>
      </c>
      <c r="F273" s="21">
        <f t="shared" si="119"/>
        <v>0</v>
      </c>
      <c r="G273" s="22">
        <f t="shared" si="119"/>
        <v>7984.9110000000001</v>
      </c>
      <c r="H273" s="21">
        <f t="shared" si="119"/>
        <v>4809.4520899999998</v>
      </c>
      <c r="I273" s="21">
        <f t="shared" si="91"/>
        <v>-3175.4589100000003</v>
      </c>
      <c r="J273" s="21">
        <f t="shared" si="92"/>
        <v>60.231755745305115</v>
      </c>
    </row>
    <row r="274" spans="1:11" ht="37.5">
      <c r="A274" s="7"/>
      <c r="B274" s="16" t="s">
        <v>287</v>
      </c>
      <c r="C274" s="17" t="s">
        <v>288</v>
      </c>
      <c r="D274" s="20"/>
      <c r="E274" s="21">
        <f t="shared" si="119"/>
        <v>5993.7</v>
      </c>
      <c r="F274" s="21">
        <f t="shared" si="119"/>
        <v>0</v>
      </c>
      <c r="G274" s="22">
        <f t="shared" si="119"/>
        <v>7984.9110000000001</v>
      </c>
      <c r="H274" s="21">
        <f t="shared" si="119"/>
        <v>4809.4520899999998</v>
      </c>
      <c r="I274" s="21">
        <f t="shared" si="91"/>
        <v>-3175.4589100000003</v>
      </c>
      <c r="J274" s="21">
        <f t="shared" si="92"/>
        <v>60.231755745305115</v>
      </c>
    </row>
    <row r="275" spans="1:11" ht="18.75">
      <c r="A275" s="7"/>
      <c r="B275" s="23" t="s">
        <v>289</v>
      </c>
      <c r="C275" s="17" t="s">
        <v>290</v>
      </c>
      <c r="D275" s="20" t="s">
        <v>15</v>
      </c>
      <c r="E275" s="21">
        <f t="shared" ref="E275:F275" si="120">E276+E277+E278</f>
        <v>5993.7</v>
      </c>
      <c r="F275" s="21">
        <f t="shared" si="120"/>
        <v>0</v>
      </c>
      <c r="G275" s="22">
        <f t="shared" ref="G275" si="121">G276+G277+G278</f>
        <v>7984.9110000000001</v>
      </c>
      <c r="H275" s="21">
        <f t="shared" ref="H275" si="122">H276+H277+H278</f>
        <v>4809.4520899999998</v>
      </c>
      <c r="I275" s="21">
        <f t="shared" si="91"/>
        <v>-3175.4589100000003</v>
      </c>
      <c r="J275" s="21">
        <f t="shared" si="92"/>
        <v>60.231755745305115</v>
      </c>
    </row>
    <row r="276" spans="1:11" ht="60" customHeight="1">
      <c r="A276" s="7"/>
      <c r="B276" s="23" t="s">
        <v>147</v>
      </c>
      <c r="C276" s="17" t="s">
        <v>290</v>
      </c>
      <c r="D276" s="20" t="s">
        <v>148</v>
      </c>
      <c r="E276" s="21">
        <v>5617.7</v>
      </c>
      <c r="F276" s="21"/>
      <c r="G276" s="22">
        <f>7349.18906+109.22194</f>
        <v>7458.4110000000001</v>
      </c>
      <c r="H276" s="21">
        <v>4572.2632100000001</v>
      </c>
      <c r="I276" s="21">
        <f t="shared" si="91"/>
        <v>-2886.14779</v>
      </c>
      <c r="J276" s="21">
        <f t="shared" si="92"/>
        <v>61.303449354024607</v>
      </c>
    </row>
    <row r="277" spans="1:11" ht="37.5">
      <c r="A277" s="7"/>
      <c r="B277" s="23" t="s">
        <v>32</v>
      </c>
      <c r="C277" s="17" t="s">
        <v>290</v>
      </c>
      <c r="D277" s="20" t="s">
        <v>149</v>
      </c>
      <c r="E277" s="21">
        <v>370.5</v>
      </c>
      <c r="F277" s="21"/>
      <c r="G277" s="22">
        <v>521</v>
      </c>
      <c r="H277" s="21">
        <v>233.49888000000001</v>
      </c>
      <c r="I277" s="21">
        <f t="shared" si="91"/>
        <v>-287.50112000000001</v>
      </c>
      <c r="J277" s="21">
        <f t="shared" si="92"/>
        <v>44.817443378119002</v>
      </c>
    </row>
    <row r="278" spans="1:11" ht="18.75">
      <c r="A278" s="7"/>
      <c r="B278" s="23" t="s">
        <v>121</v>
      </c>
      <c r="C278" s="17" t="s">
        <v>290</v>
      </c>
      <c r="D278" s="20" t="s">
        <v>150</v>
      </c>
      <c r="E278" s="21">
        <v>5.5</v>
      </c>
      <c r="F278" s="21"/>
      <c r="G278" s="22">
        <v>5.5</v>
      </c>
      <c r="H278" s="21">
        <v>3.69</v>
      </c>
      <c r="I278" s="21">
        <f t="shared" si="91"/>
        <v>-1.81</v>
      </c>
      <c r="J278" s="21">
        <f t="shared" si="92"/>
        <v>67.090909090909093</v>
      </c>
    </row>
    <row r="279" spans="1:11" ht="59.25" customHeight="1">
      <c r="A279" s="11">
        <v>5</v>
      </c>
      <c r="B279" s="12" t="s">
        <v>291</v>
      </c>
      <c r="C279" s="13" t="s">
        <v>292</v>
      </c>
      <c r="D279" s="14"/>
      <c r="E279" s="15">
        <f t="shared" ref="E279:F279" si="123">E280</f>
        <v>1278.2</v>
      </c>
      <c r="F279" s="15">
        <f t="shared" si="123"/>
        <v>0</v>
      </c>
      <c r="G279" s="29">
        <f>G280+G284</f>
        <v>7363.3860000000004</v>
      </c>
      <c r="H279" s="15">
        <f>H280+H285</f>
        <v>2266.6057099999998</v>
      </c>
      <c r="I279" s="15">
        <f t="shared" si="91"/>
        <v>-5096.7802900000006</v>
      </c>
      <c r="J279" s="15">
        <f t="shared" si="92"/>
        <v>30.782111789331694</v>
      </c>
    </row>
    <row r="280" spans="1:11" ht="37.5">
      <c r="A280" s="7"/>
      <c r="B280" s="23" t="s">
        <v>293</v>
      </c>
      <c r="C280" s="17" t="s">
        <v>294</v>
      </c>
      <c r="D280" s="20" t="s">
        <v>15</v>
      </c>
      <c r="E280" s="21">
        <f>E281+E283</f>
        <v>1278.2</v>
      </c>
      <c r="F280" s="21">
        <f t="shared" ref="F280" si="124">F281+F283</f>
        <v>0</v>
      </c>
      <c r="G280" s="22">
        <f t="shared" ref="G280" si="125">G281+G283</f>
        <v>1863.386</v>
      </c>
      <c r="H280" s="21">
        <f t="shared" ref="H280" si="126">H281+H283</f>
        <v>2266.6057099999998</v>
      </c>
      <c r="I280" s="21">
        <f t="shared" si="91"/>
        <v>403.21970999999985</v>
      </c>
      <c r="J280" s="21">
        <f t="shared" si="92"/>
        <v>121.63908658753473</v>
      </c>
    </row>
    <row r="281" spans="1:11" ht="35.1" customHeight="1">
      <c r="A281" s="7"/>
      <c r="B281" s="23" t="s">
        <v>32</v>
      </c>
      <c r="C281" s="17" t="s">
        <v>294</v>
      </c>
      <c r="D281" s="20">
        <v>200</v>
      </c>
      <c r="E281" s="21">
        <v>15</v>
      </c>
      <c r="F281" s="21"/>
      <c r="G281" s="22">
        <v>60</v>
      </c>
      <c r="H281" s="21">
        <v>439.55599999999998</v>
      </c>
      <c r="I281" s="21">
        <f t="shared" si="91"/>
        <v>379.55599999999998</v>
      </c>
      <c r="J281" s="21">
        <f t="shared" si="92"/>
        <v>732.59333333333336</v>
      </c>
    </row>
    <row r="282" spans="1:11" ht="18.75" hidden="1">
      <c r="A282" s="7"/>
      <c r="B282" s="23" t="s">
        <v>278</v>
      </c>
      <c r="C282" s="17" t="s">
        <v>294</v>
      </c>
      <c r="D282" s="20">
        <v>500</v>
      </c>
      <c r="E282" s="21"/>
      <c r="F282" s="21"/>
      <c r="G282" s="22"/>
      <c r="H282" s="21"/>
      <c r="I282" s="21">
        <f t="shared" si="91"/>
        <v>0</v>
      </c>
      <c r="J282" s="21" t="e">
        <f t="shared" si="92"/>
        <v>#DIV/0!</v>
      </c>
    </row>
    <row r="283" spans="1:11" ht="37.5">
      <c r="A283" s="7"/>
      <c r="B283" s="23" t="s">
        <v>20</v>
      </c>
      <c r="C283" s="17" t="s">
        <v>294</v>
      </c>
      <c r="D283" s="20">
        <v>600</v>
      </c>
      <c r="E283" s="21">
        <v>1263.2</v>
      </c>
      <c r="F283" s="21"/>
      <c r="G283" s="22">
        <f>1475.4-16.8-35.214+380</f>
        <v>1803.386</v>
      </c>
      <c r="H283" s="21">
        <v>1827.04971</v>
      </c>
      <c r="I283" s="21">
        <f t="shared" si="91"/>
        <v>23.663710000000037</v>
      </c>
      <c r="J283" s="21">
        <f t="shared" si="92"/>
        <v>101.31218219504865</v>
      </c>
      <c r="K283" s="1">
        <v>100</v>
      </c>
    </row>
    <row r="284" spans="1:11" ht="37.5">
      <c r="A284" s="7"/>
      <c r="B284" s="23" t="s">
        <v>295</v>
      </c>
      <c r="C284" s="17" t="s">
        <v>296</v>
      </c>
      <c r="D284" s="20"/>
      <c r="E284" s="21"/>
      <c r="F284" s="21"/>
      <c r="G284" s="22">
        <f>G285</f>
        <v>5500</v>
      </c>
      <c r="H284" s="21"/>
      <c r="I284" s="21"/>
      <c r="J284" s="21"/>
    </row>
    <row r="285" spans="1:11" ht="56.25">
      <c r="A285" s="7"/>
      <c r="B285" s="23" t="s">
        <v>297</v>
      </c>
      <c r="C285" s="17" t="s">
        <v>298</v>
      </c>
      <c r="D285" s="20"/>
      <c r="E285" s="21"/>
      <c r="F285" s="21"/>
      <c r="G285" s="22">
        <f>G286</f>
        <v>5500</v>
      </c>
      <c r="H285" s="21">
        <f>H286</f>
        <v>0</v>
      </c>
      <c r="I285" s="15">
        <f t="shared" ref="I285:I299" si="127">H285-G285</f>
        <v>-5500</v>
      </c>
      <c r="J285" s="15">
        <f t="shared" ref="J285:J299" si="128">H285/G285*100</f>
        <v>0</v>
      </c>
    </row>
    <row r="286" spans="1:11" ht="18.75">
      <c r="A286" s="7"/>
      <c r="B286" s="23" t="s">
        <v>278</v>
      </c>
      <c r="C286" s="17" t="s">
        <v>298</v>
      </c>
      <c r="D286" s="20">
        <v>500</v>
      </c>
      <c r="E286" s="21"/>
      <c r="F286" s="21"/>
      <c r="G286" s="22">
        <v>5500</v>
      </c>
      <c r="H286" s="21"/>
      <c r="I286" s="15">
        <f t="shared" si="127"/>
        <v>-5500</v>
      </c>
      <c r="J286" s="15">
        <f t="shared" si="128"/>
        <v>0</v>
      </c>
    </row>
    <row r="287" spans="1:11" ht="37.5">
      <c r="A287" s="11">
        <v>6</v>
      </c>
      <c r="B287" s="31" t="s">
        <v>299</v>
      </c>
      <c r="C287" s="13" t="s">
        <v>300</v>
      </c>
      <c r="D287" s="14"/>
      <c r="E287" s="15">
        <f>E288+E291</f>
        <v>100</v>
      </c>
      <c r="F287" s="15">
        <f t="shared" ref="F287" si="129">F288+F291</f>
        <v>0</v>
      </c>
      <c r="G287" s="29">
        <f t="shared" ref="G287" si="130">G288+G291</f>
        <v>116.69584</v>
      </c>
      <c r="H287" s="15">
        <f t="shared" ref="H287" si="131">H288+H291</f>
        <v>137.0532</v>
      </c>
      <c r="I287" s="15">
        <f t="shared" si="127"/>
        <v>20.35736</v>
      </c>
      <c r="J287" s="15">
        <f t="shared" si="128"/>
        <v>117.44480351656065</v>
      </c>
    </row>
    <row r="288" spans="1:11" ht="18.75">
      <c r="A288" s="7"/>
      <c r="B288" s="23" t="s">
        <v>301</v>
      </c>
      <c r="C288" s="17" t="s">
        <v>302</v>
      </c>
      <c r="D288" s="20"/>
      <c r="E288" s="21">
        <f t="shared" ref="E288:H289" si="132">E289</f>
        <v>50</v>
      </c>
      <c r="F288" s="21">
        <f t="shared" si="132"/>
        <v>0</v>
      </c>
      <c r="G288" s="22">
        <f t="shared" si="132"/>
        <v>70</v>
      </c>
      <c r="H288" s="21">
        <f t="shared" si="132"/>
        <v>70</v>
      </c>
      <c r="I288" s="21">
        <f t="shared" si="127"/>
        <v>0</v>
      </c>
      <c r="J288" s="21">
        <f t="shared" si="128"/>
        <v>100</v>
      </c>
    </row>
    <row r="289" spans="1:10" ht="18.75">
      <c r="A289" s="7"/>
      <c r="B289" s="23" t="s">
        <v>303</v>
      </c>
      <c r="C289" s="17" t="s">
        <v>304</v>
      </c>
      <c r="D289" s="20"/>
      <c r="E289" s="21">
        <f t="shared" si="132"/>
        <v>50</v>
      </c>
      <c r="F289" s="21">
        <f t="shared" si="132"/>
        <v>0</v>
      </c>
      <c r="G289" s="22">
        <f t="shared" si="132"/>
        <v>70</v>
      </c>
      <c r="H289" s="21">
        <f t="shared" si="132"/>
        <v>70</v>
      </c>
      <c r="I289" s="21">
        <f t="shared" si="127"/>
        <v>0</v>
      </c>
      <c r="J289" s="21">
        <f t="shared" si="128"/>
        <v>100</v>
      </c>
    </row>
    <row r="290" spans="1:10" ht="37.5">
      <c r="A290" s="7"/>
      <c r="B290" s="23" t="s">
        <v>32</v>
      </c>
      <c r="C290" s="17" t="s">
        <v>304</v>
      </c>
      <c r="D290" s="20">
        <v>200</v>
      </c>
      <c r="E290" s="21">
        <v>50</v>
      </c>
      <c r="F290" s="21"/>
      <c r="G290" s="22">
        <v>70</v>
      </c>
      <c r="H290" s="21">
        <v>70</v>
      </c>
      <c r="I290" s="21">
        <f t="shared" si="127"/>
        <v>0</v>
      </c>
      <c r="J290" s="21">
        <f t="shared" si="128"/>
        <v>100</v>
      </c>
    </row>
    <row r="291" spans="1:10" ht="37.5" customHeight="1">
      <c r="A291" s="7"/>
      <c r="B291" s="23" t="s">
        <v>305</v>
      </c>
      <c r="C291" s="17" t="s">
        <v>306</v>
      </c>
      <c r="D291" s="20"/>
      <c r="E291" s="21">
        <f t="shared" ref="E291:H292" si="133">E292</f>
        <v>50</v>
      </c>
      <c r="F291" s="21">
        <f t="shared" si="133"/>
        <v>0</v>
      </c>
      <c r="G291" s="22">
        <f t="shared" si="133"/>
        <v>46.695840000000004</v>
      </c>
      <c r="H291" s="21">
        <f t="shared" si="133"/>
        <v>67.053200000000004</v>
      </c>
      <c r="I291" s="21">
        <f t="shared" si="127"/>
        <v>20.35736</v>
      </c>
      <c r="J291" s="21">
        <f t="shared" si="128"/>
        <v>143.59566076978163</v>
      </c>
    </row>
    <row r="292" spans="1:10" ht="37.5">
      <c r="A292" s="7"/>
      <c r="B292" s="23" t="s">
        <v>307</v>
      </c>
      <c r="C292" s="17" t="s">
        <v>308</v>
      </c>
      <c r="D292" s="20"/>
      <c r="E292" s="21">
        <f t="shared" si="133"/>
        <v>50</v>
      </c>
      <c r="F292" s="21">
        <f t="shared" si="133"/>
        <v>0</v>
      </c>
      <c r="G292" s="22">
        <f t="shared" si="133"/>
        <v>46.695840000000004</v>
      </c>
      <c r="H292" s="21">
        <f t="shared" si="133"/>
        <v>67.053200000000004</v>
      </c>
      <c r="I292" s="21">
        <f t="shared" si="127"/>
        <v>20.35736</v>
      </c>
      <c r="J292" s="21">
        <f t="shared" si="128"/>
        <v>143.59566076978163</v>
      </c>
    </row>
    <row r="293" spans="1:10" ht="37.5">
      <c r="A293" s="7"/>
      <c r="B293" s="23" t="s">
        <v>32</v>
      </c>
      <c r="C293" s="17" t="s">
        <v>308</v>
      </c>
      <c r="D293" s="20">
        <v>200</v>
      </c>
      <c r="E293" s="21">
        <v>50</v>
      </c>
      <c r="F293" s="21"/>
      <c r="G293" s="22">
        <f>70-23.30416</f>
        <v>46.695840000000004</v>
      </c>
      <c r="H293" s="21">
        <v>67.053200000000004</v>
      </c>
      <c r="I293" s="21">
        <f t="shared" si="127"/>
        <v>20.35736</v>
      </c>
      <c r="J293" s="21">
        <f t="shared" si="128"/>
        <v>143.59566076978163</v>
      </c>
    </row>
    <row r="294" spans="1:10" ht="36.950000000000003" customHeight="1">
      <c r="A294" s="11">
        <v>7</v>
      </c>
      <c r="B294" s="31" t="s">
        <v>309</v>
      </c>
      <c r="C294" s="13" t="s">
        <v>310</v>
      </c>
      <c r="D294" s="14"/>
      <c r="E294" s="15">
        <f t="shared" ref="E294:F294" si="134">E297</f>
        <v>260</v>
      </c>
      <c r="F294" s="15">
        <f t="shared" si="134"/>
        <v>0</v>
      </c>
      <c r="G294" s="29">
        <f>G297+G295+G300</f>
        <v>9102.6131600000008</v>
      </c>
      <c r="H294" s="15">
        <f>H297+H295</f>
        <v>459.89400000000001</v>
      </c>
      <c r="I294" s="15">
        <f t="shared" si="127"/>
        <v>-8642.7191600000006</v>
      </c>
      <c r="J294" s="15">
        <f t="shared" si="128"/>
        <v>5.0523293906515958</v>
      </c>
    </row>
    <row r="295" spans="1:10" ht="56.25" hidden="1">
      <c r="A295" s="11"/>
      <c r="B295" s="23" t="s">
        <v>311</v>
      </c>
      <c r="C295" s="17" t="s">
        <v>312</v>
      </c>
      <c r="D295" s="20"/>
      <c r="E295" s="15"/>
      <c r="F295" s="15"/>
      <c r="G295" s="22">
        <f>G296</f>
        <v>0</v>
      </c>
      <c r="H295" s="21">
        <f>H296</f>
        <v>0</v>
      </c>
      <c r="I295" s="15">
        <f t="shared" si="127"/>
        <v>0</v>
      </c>
      <c r="J295" s="15" t="e">
        <f t="shared" si="128"/>
        <v>#DIV/0!</v>
      </c>
    </row>
    <row r="296" spans="1:10" ht="37.5" hidden="1">
      <c r="A296" s="11"/>
      <c r="B296" s="23" t="s">
        <v>244</v>
      </c>
      <c r="C296" s="17" t="s">
        <v>312</v>
      </c>
      <c r="D296" s="20">
        <v>400</v>
      </c>
      <c r="E296" s="15"/>
      <c r="F296" s="15"/>
      <c r="G296" s="22"/>
      <c r="H296" s="21"/>
      <c r="I296" s="15">
        <f t="shared" si="127"/>
        <v>0</v>
      </c>
      <c r="J296" s="15" t="e">
        <f t="shared" si="128"/>
        <v>#DIV/0!</v>
      </c>
    </row>
    <row r="297" spans="1:10" ht="18" customHeight="1">
      <c r="A297" s="7"/>
      <c r="B297" s="23" t="s">
        <v>313</v>
      </c>
      <c r="C297" s="17" t="s">
        <v>314</v>
      </c>
      <c r="D297" s="20"/>
      <c r="E297" s="21">
        <f>E299</f>
        <v>260</v>
      </c>
      <c r="F297" s="21">
        <f>F299</f>
        <v>0</v>
      </c>
      <c r="G297" s="22">
        <f>G299+G298</f>
        <v>240</v>
      </c>
      <c r="H297" s="21">
        <f>H299+H298</f>
        <v>459.89400000000001</v>
      </c>
      <c r="I297" s="21">
        <f t="shared" si="127"/>
        <v>219.89400000000001</v>
      </c>
      <c r="J297" s="21">
        <f t="shared" si="128"/>
        <v>191.6225</v>
      </c>
    </row>
    <row r="298" spans="1:10" ht="75">
      <c r="A298" s="7"/>
      <c r="B298" s="23" t="s">
        <v>147</v>
      </c>
      <c r="C298" s="17" t="s">
        <v>314</v>
      </c>
      <c r="D298" s="20">
        <v>100</v>
      </c>
      <c r="E298" s="21"/>
      <c r="F298" s="21"/>
      <c r="G298" s="22">
        <v>19.148</v>
      </c>
      <c r="H298" s="21">
        <v>69.5</v>
      </c>
      <c r="I298" s="21">
        <f t="shared" si="127"/>
        <v>50.352000000000004</v>
      </c>
      <c r="J298" s="21">
        <f t="shared" si="128"/>
        <v>362.96218926258621</v>
      </c>
    </row>
    <row r="299" spans="1:10" ht="37.5">
      <c r="A299" s="7"/>
      <c r="B299" s="23" t="s">
        <v>32</v>
      </c>
      <c r="C299" s="17" t="s">
        <v>314</v>
      </c>
      <c r="D299" s="20">
        <v>200</v>
      </c>
      <c r="E299" s="21">
        <v>260</v>
      </c>
      <c r="F299" s="21"/>
      <c r="G299" s="22">
        <f>240-19.148</f>
        <v>220.852</v>
      </c>
      <c r="H299" s="21">
        <v>390.39400000000001</v>
      </c>
      <c r="I299" s="21">
        <f t="shared" si="127"/>
        <v>169.542</v>
      </c>
      <c r="J299" s="21">
        <f t="shared" si="128"/>
        <v>176.76724684404036</v>
      </c>
    </row>
    <row r="300" spans="1:10" ht="56.25">
      <c r="A300" s="7"/>
      <c r="B300" s="23" t="s">
        <v>315</v>
      </c>
      <c r="C300" s="17" t="s">
        <v>316</v>
      </c>
      <c r="D300" s="20"/>
      <c r="E300" s="21"/>
      <c r="F300" s="21"/>
      <c r="G300" s="22">
        <f>G301</f>
        <v>8862.6131600000008</v>
      </c>
      <c r="H300" s="21"/>
      <c r="I300" s="21"/>
      <c r="J300" s="21"/>
    </row>
    <row r="301" spans="1:10" ht="37.5">
      <c r="A301" s="7"/>
      <c r="B301" s="23" t="s">
        <v>255</v>
      </c>
      <c r="C301" s="17" t="s">
        <v>317</v>
      </c>
      <c r="D301" s="20"/>
      <c r="E301" s="21"/>
      <c r="F301" s="21"/>
      <c r="G301" s="22">
        <f>G302+G303+G304</f>
        <v>8862.6131600000008</v>
      </c>
      <c r="H301" s="21"/>
      <c r="I301" s="21"/>
      <c r="J301" s="21"/>
    </row>
    <row r="302" spans="1:10" ht="75">
      <c r="A302" s="7"/>
      <c r="B302" s="23" t="s">
        <v>147</v>
      </c>
      <c r="C302" s="17" t="s">
        <v>317</v>
      </c>
      <c r="D302" s="20">
        <v>100</v>
      </c>
      <c r="E302" s="21"/>
      <c r="F302" s="21"/>
      <c r="G302" s="22">
        <v>6303.0382600000003</v>
      </c>
      <c r="H302" s="21"/>
      <c r="I302" s="21"/>
      <c r="J302" s="21"/>
    </row>
    <row r="303" spans="1:10" ht="37.5">
      <c r="A303" s="7"/>
      <c r="B303" s="23" t="s">
        <v>32</v>
      </c>
      <c r="C303" s="17" t="s">
        <v>317</v>
      </c>
      <c r="D303" s="20">
        <v>200</v>
      </c>
      <c r="E303" s="21"/>
      <c r="F303" s="21"/>
      <c r="G303" s="22">
        <f>1432.7749+530</f>
        <v>1962.7748999999999</v>
      </c>
      <c r="H303" s="21"/>
      <c r="I303" s="21"/>
      <c r="J303" s="21"/>
    </row>
    <row r="304" spans="1:10" ht="18.75">
      <c r="A304" s="7"/>
      <c r="B304" s="23" t="s">
        <v>121</v>
      </c>
      <c r="C304" s="17" t="s">
        <v>317</v>
      </c>
      <c r="D304" s="20">
        <v>800</v>
      </c>
      <c r="E304" s="21"/>
      <c r="F304" s="21"/>
      <c r="G304" s="22">
        <v>596.79999999999995</v>
      </c>
      <c r="H304" s="21"/>
      <c r="I304" s="21"/>
      <c r="J304" s="21"/>
    </row>
    <row r="305" spans="1:10" ht="61.5" customHeight="1">
      <c r="A305" s="11">
        <v>8</v>
      </c>
      <c r="B305" s="31" t="s">
        <v>318</v>
      </c>
      <c r="C305" s="13" t="s">
        <v>319</v>
      </c>
      <c r="D305" s="14"/>
      <c r="E305" s="15">
        <f>E308+E313</f>
        <v>482.8</v>
      </c>
      <c r="F305" s="15">
        <f t="shared" ref="F305:G305" si="135">F308+F313</f>
        <v>0</v>
      </c>
      <c r="G305" s="29">
        <f t="shared" si="135"/>
        <v>302.70925999999997</v>
      </c>
      <c r="H305" s="15" t="e">
        <f>H308+H313+#REF!</f>
        <v>#REF!</v>
      </c>
      <c r="I305" s="15" t="e">
        <f>H305-G305</f>
        <v>#REF!</v>
      </c>
      <c r="J305" s="15" t="e">
        <f>H305/G305*100</f>
        <v>#REF!</v>
      </c>
    </row>
    <row r="306" spans="1:10" ht="69.75" hidden="1" customHeight="1">
      <c r="A306" s="11"/>
      <c r="B306" s="23" t="s">
        <v>320</v>
      </c>
      <c r="C306" s="17" t="s">
        <v>321</v>
      </c>
      <c r="D306" s="14"/>
      <c r="E306" s="15"/>
      <c r="F306" s="15"/>
      <c r="G306" s="22">
        <f>G307</f>
        <v>0</v>
      </c>
      <c r="H306" s="21">
        <f>H307</f>
        <v>0</v>
      </c>
      <c r="I306" s="21">
        <f t="shared" ref="I306:I372" si="136">H306-G306</f>
        <v>0</v>
      </c>
      <c r="J306" s="21" t="e">
        <f t="shared" ref="J306:J372" si="137">H306/G306*100</f>
        <v>#DIV/0!</v>
      </c>
    </row>
    <row r="307" spans="1:10" ht="69.75" hidden="1" customHeight="1">
      <c r="A307" s="11"/>
      <c r="B307" s="23" t="s">
        <v>32</v>
      </c>
      <c r="C307" s="17" t="s">
        <v>321</v>
      </c>
      <c r="D307" s="20">
        <v>200</v>
      </c>
      <c r="E307" s="15"/>
      <c r="F307" s="15"/>
      <c r="G307" s="22">
        <v>0</v>
      </c>
      <c r="H307" s="21">
        <v>0</v>
      </c>
      <c r="I307" s="21">
        <f t="shared" si="136"/>
        <v>0</v>
      </c>
      <c r="J307" s="21" t="e">
        <f t="shared" si="137"/>
        <v>#DIV/0!</v>
      </c>
    </row>
    <row r="308" spans="1:10" ht="27.75" customHeight="1">
      <c r="A308" s="7"/>
      <c r="B308" s="23" t="s">
        <v>322</v>
      </c>
      <c r="C308" s="17" t="s">
        <v>323</v>
      </c>
      <c r="D308" s="20"/>
      <c r="E308" s="21">
        <v>150</v>
      </c>
      <c r="F308" s="21">
        <v>0</v>
      </c>
      <c r="G308" s="22">
        <f>G309</f>
        <v>200</v>
      </c>
      <c r="H308" s="21">
        <f>H309</f>
        <v>0</v>
      </c>
      <c r="I308" s="21">
        <f t="shared" si="136"/>
        <v>-200</v>
      </c>
      <c r="J308" s="21">
        <f t="shared" si="137"/>
        <v>0</v>
      </c>
    </row>
    <row r="309" spans="1:10" ht="37.5">
      <c r="A309" s="7"/>
      <c r="B309" s="23" t="s">
        <v>324</v>
      </c>
      <c r="C309" s="17" t="s">
        <v>325</v>
      </c>
      <c r="D309" s="20"/>
      <c r="E309" s="21">
        <v>150</v>
      </c>
      <c r="F309" s="21">
        <v>0</v>
      </c>
      <c r="G309" s="22">
        <f>G310+G311+G312</f>
        <v>200</v>
      </c>
      <c r="H309" s="21">
        <f>H310+H311+H312</f>
        <v>0</v>
      </c>
      <c r="I309" s="21">
        <f t="shared" si="136"/>
        <v>-200</v>
      </c>
      <c r="J309" s="21">
        <f t="shared" si="137"/>
        <v>0</v>
      </c>
    </row>
    <row r="310" spans="1:10" ht="36.950000000000003" customHeight="1">
      <c r="A310" s="7"/>
      <c r="B310" s="23" t="s">
        <v>32</v>
      </c>
      <c r="C310" s="17" t="s">
        <v>325</v>
      </c>
      <c r="D310" s="20">
        <v>200</v>
      </c>
      <c r="E310" s="15"/>
      <c r="F310" s="15"/>
      <c r="G310" s="22">
        <v>100</v>
      </c>
      <c r="H310" s="21">
        <v>0</v>
      </c>
      <c r="I310" s="21">
        <f t="shared" si="136"/>
        <v>-100</v>
      </c>
      <c r="J310" s="21">
        <f t="shared" si="137"/>
        <v>0</v>
      </c>
    </row>
    <row r="311" spans="1:10" ht="18.75">
      <c r="A311" s="7"/>
      <c r="B311" s="23" t="s">
        <v>45</v>
      </c>
      <c r="C311" s="17" t="s">
        <v>325</v>
      </c>
      <c r="D311" s="20">
        <v>300</v>
      </c>
      <c r="E311" s="15">
        <v>150</v>
      </c>
      <c r="F311" s="15"/>
      <c r="G311" s="22">
        <v>5</v>
      </c>
      <c r="H311" s="21">
        <v>0</v>
      </c>
      <c r="I311" s="21">
        <f t="shared" si="136"/>
        <v>-5</v>
      </c>
      <c r="J311" s="21">
        <f t="shared" si="137"/>
        <v>0</v>
      </c>
    </row>
    <row r="312" spans="1:10" ht="18.75">
      <c r="A312" s="7"/>
      <c r="B312" s="23" t="s">
        <v>121</v>
      </c>
      <c r="C312" s="17" t="s">
        <v>325</v>
      </c>
      <c r="D312" s="20">
        <v>800</v>
      </c>
      <c r="E312" s="15"/>
      <c r="F312" s="15"/>
      <c r="G312" s="22">
        <v>95</v>
      </c>
      <c r="H312" s="21">
        <v>0</v>
      </c>
      <c r="I312" s="21">
        <f t="shared" si="136"/>
        <v>-95</v>
      </c>
      <c r="J312" s="21">
        <f t="shared" si="137"/>
        <v>0</v>
      </c>
    </row>
    <row r="313" spans="1:10" ht="18" customHeight="1">
      <c r="A313" s="7"/>
      <c r="B313" s="23" t="s">
        <v>326</v>
      </c>
      <c r="C313" s="17" t="s">
        <v>327</v>
      </c>
      <c r="D313" s="20"/>
      <c r="E313" s="21">
        <v>332.8</v>
      </c>
      <c r="F313" s="21">
        <v>0</v>
      </c>
      <c r="G313" s="22">
        <f>G318+G329+G314+G316+G321</f>
        <v>102.70926</v>
      </c>
      <c r="H313" s="21">
        <f>H318+H329+H314+H316+H321</f>
        <v>0</v>
      </c>
      <c r="I313" s="15">
        <f t="shared" si="136"/>
        <v>-102.70926</v>
      </c>
      <c r="J313" s="15">
        <f t="shared" si="137"/>
        <v>0</v>
      </c>
    </row>
    <row r="314" spans="1:10" ht="37.5" hidden="1">
      <c r="A314" s="7"/>
      <c r="B314" s="23" t="s">
        <v>328</v>
      </c>
      <c r="C314" s="17" t="s">
        <v>329</v>
      </c>
      <c r="D314" s="20"/>
      <c r="E314" s="21"/>
      <c r="F314" s="21"/>
      <c r="G314" s="22">
        <f>G315</f>
        <v>0</v>
      </c>
      <c r="H314" s="21">
        <f>H315</f>
        <v>0</v>
      </c>
      <c r="I314" s="15">
        <f t="shared" si="136"/>
        <v>0</v>
      </c>
      <c r="J314" s="15" t="e">
        <f t="shared" si="137"/>
        <v>#DIV/0!</v>
      </c>
    </row>
    <row r="315" spans="1:10" ht="18.75" hidden="1">
      <c r="A315" s="7"/>
      <c r="B315" s="23" t="s">
        <v>278</v>
      </c>
      <c r="C315" s="17" t="s">
        <v>329</v>
      </c>
      <c r="D315" s="20">
        <v>500</v>
      </c>
      <c r="E315" s="21"/>
      <c r="F315" s="21"/>
      <c r="G315" s="22"/>
      <c r="H315" s="21"/>
      <c r="I315" s="15">
        <f t="shared" si="136"/>
        <v>0</v>
      </c>
      <c r="J315" s="15" t="e">
        <f t="shared" si="137"/>
        <v>#DIV/0!</v>
      </c>
    </row>
    <row r="316" spans="1:10" ht="18.75" hidden="1">
      <c r="A316" s="7"/>
      <c r="B316" s="23" t="s">
        <v>330</v>
      </c>
      <c r="C316" s="17" t="s">
        <v>331</v>
      </c>
      <c r="D316" s="20"/>
      <c r="E316" s="21"/>
      <c r="F316" s="21"/>
      <c r="G316" s="22">
        <f>G317</f>
        <v>0</v>
      </c>
      <c r="H316" s="21">
        <f>H317</f>
        <v>0</v>
      </c>
      <c r="I316" s="15">
        <f t="shared" si="136"/>
        <v>0</v>
      </c>
      <c r="J316" s="15" t="e">
        <f t="shared" si="137"/>
        <v>#DIV/0!</v>
      </c>
    </row>
    <row r="317" spans="1:10" ht="18.75" hidden="1">
      <c r="A317" s="7"/>
      <c r="B317" s="23" t="s">
        <v>278</v>
      </c>
      <c r="C317" s="17" t="s">
        <v>331</v>
      </c>
      <c r="D317" s="20">
        <v>500</v>
      </c>
      <c r="E317" s="21"/>
      <c r="F317" s="21"/>
      <c r="G317" s="22"/>
      <c r="H317" s="21"/>
      <c r="I317" s="15">
        <f t="shared" si="136"/>
        <v>0</v>
      </c>
      <c r="J317" s="15" t="e">
        <f t="shared" si="137"/>
        <v>#DIV/0!</v>
      </c>
    </row>
    <row r="318" spans="1:10" ht="37.5" hidden="1">
      <c r="A318" s="7"/>
      <c r="B318" s="23" t="s">
        <v>332</v>
      </c>
      <c r="C318" s="17" t="s">
        <v>333</v>
      </c>
      <c r="D318" s="20"/>
      <c r="E318" s="21">
        <v>332.8</v>
      </c>
      <c r="F318" s="21">
        <v>0</v>
      </c>
      <c r="G318" s="22">
        <f>G319</f>
        <v>0</v>
      </c>
      <c r="H318" s="21">
        <f>H319</f>
        <v>0</v>
      </c>
      <c r="I318" s="15">
        <f t="shared" si="136"/>
        <v>0</v>
      </c>
      <c r="J318" s="15" t="e">
        <f t="shared" si="137"/>
        <v>#DIV/0!</v>
      </c>
    </row>
    <row r="319" spans="1:10" ht="37.5" hidden="1">
      <c r="A319" s="7"/>
      <c r="B319" s="23" t="s">
        <v>334</v>
      </c>
      <c r="C319" s="17" t="s">
        <v>335</v>
      </c>
      <c r="D319" s="20"/>
      <c r="E319" s="21">
        <v>332.8</v>
      </c>
      <c r="F319" s="21">
        <v>0</v>
      </c>
      <c r="G319" s="22">
        <f>G320</f>
        <v>0</v>
      </c>
      <c r="H319" s="21">
        <f>H320</f>
        <v>0</v>
      </c>
      <c r="I319" s="15">
        <f t="shared" si="136"/>
        <v>0</v>
      </c>
      <c r="J319" s="15" t="e">
        <f t="shared" si="137"/>
        <v>#DIV/0!</v>
      </c>
    </row>
    <row r="320" spans="1:10" ht="18.75" hidden="1">
      <c r="A320" s="7"/>
      <c r="B320" s="23" t="s">
        <v>45</v>
      </c>
      <c r="C320" s="17" t="s">
        <v>335</v>
      </c>
      <c r="D320" s="20">
        <v>300</v>
      </c>
      <c r="E320" s="21">
        <v>332.8</v>
      </c>
      <c r="F320" s="21"/>
      <c r="G320" s="22"/>
      <c r="H320" s="21"/>
      <c r="I320" s="15">
        <f t="shared" si="136"/>
        <v>0</v>
      </c>
      <c r="J320" s="15" t="e">
        <f t="shared" si="137"/>
        <v>#DIV/0!</v>
      </c>
    </row>
    <row r="321" spans="1:10" ht="18.75" hidden="1">
      <c r="A321" s="7"/>
      <c r="B321" s="23" t="s">
        <v>336</v>
      </c>
      <c r="C321" s="17" t="s">
        <v>337</v>
      </c>
      <c r="D321" s="20"/>
      <c r="E321" s="21"/>
      <c r="F321" s="21"/>
      <c r="G321" s="22">
        <f>G322+G324</f>
        <v>0</v>
      </c>
      <c r="H321" s="21">
        <f>H322+H324</f>
        <v>0</v>
      </c>
      <c r="I321" s="15">
        <f t="shared" si="136"/>
        <v>0</v>
      </c>
      <c r="J321" s="15" t="e">
        <f t="shared" si="137"/>
        <v>#DIV/0!</v>
      </c>
    </row>
    <row r="322" spans="1:10" ht="37.5" hidden="1">
      <c r="A322" s="7"/>
      <c r="B322" s="23" t="s">
        <v>338</v>
      </c>
      <c r="C322" s="17" t="s">
        <v>339</v>
      </c>
      <c r="D322" s="20"/>
      <c r="E322" s="21"/>
      <c r="F322" s="21"/>
      <c r="G322" s="22">
        <f>G323</f>
        <v>0</v>
      </c>
      <c r="H322" s="21">
        <f>H323</f>
        <v>0</v>
      </c>
      <c r="I322" s="15">
        <f t="shared" si="136"/>
        <v>0</v>
      </c>
      <c r="J322" s="15" t="e">
        <f t="shared" si="137"/>
        <v>#DIV/0!</v>
      </c>
    </row>
    <row r="323" spans="1:10" ht="37.5" hidden="1">
      <c r="A323" s="7"/>
      <c r="B323" s="23" t="s">
        <v>20</v>
      </c>
      <c r="C323" s="17" t="s">
        <v>339</v>
      </c>
      <c r="D323" s="20">
        <v>600</v>
      </c>
      <c r="E323" s="21"/>
      <c r="F323" s="21"/>
      <c r="G323" s="22"/>
      <c r="H323" s="21"/>
      <c r="I323" s="15">
        <f t="shared" si="136"/>
        <v>0</v>
      </c>
      <c r="J323" s="15" t="e">
        <f t="shared" si="137"/>
        <v>#DIV/0!</v>
      </c>
    </row>
    <row r="324" spans="1:10" ht="37.5" hidden="1">
      <c r="A324" s="7"/>
      <c r="B324" s="23" t="s">
        <v>340</v>
      </c>
      <c r="C324" s="17" t="s">
        <v>341</v>
      </c>
      <c r="D324" s="20"/>
      <c r="E324" s="21"/>
      <c r="F324" s="21"/>
      <c r="G324" s="22">
        <f>G325+G327+G328</f>
        <v>0</v>
      </c>
      <c r="H324" s="21">
        <f>H325+H327+H328</f>
        <v>0</v>
      </c>
      <c r="I324" s="15">
        <f t="shared" si="136"/>
        <v>0</v>
      </c>
      <c r="J324" s="15" t="e">
        <f t="shared" si="137"/>
        <v>#DIV/0!</v>
      </c>
    </row>
    <row r="325" spans="1:10" ht="37.5" hidden="1">
      <c r="A325" s="7"/>
      <c r="B325" s="23" t="s">
        <v>244</v>
      </c>
      <c r="C325" s="17" t="s">
        <v>341</v>
      </c>
      <c r="D325" s="20">
        <v>400</v>
      </c>
      <c r="E325" s="21"/>
      <c r="F325" s="21"/>
      <c r="G325" s="22"/>
      <c r="H325" s="21"/>
      <c r="I325" s="15">
        <f t="shared" si="136"/>
        <v>0</v>
      </c>
      <c r="J325" s="15" t="e">
        <f t="shared" si="137"/>
        <v>#DIV/0!</v>
      </c>
    </row>
    <row r="326" spans="1:10" ht="37.5" hidden="1">
      <c r="A326" s="7"/>
      <c r="B326" s="23" t="s">
        <v>340</v>
      </c>
      <c r="C326" s="17" t="s">
        <v>341</v>
      </c>
      <c r="D326" s="20"/>
      <c r="E326" s="21"/>
      <c r="F326" s="21"/>
      <c r="G326" s="22">
        <f>G327</f>
        <v>0</v>
      </c>
      <c r="H326" s="21">
        <f>H327</f>
        <v>0</v>
      </c>
      <c r="I326" s="15">
        <f t="shared" si="136"/>
        <v>0</v>
      </c>
      <c r="J326" s="15" t="e">
        <f t="shared" si="137"/>
        <v>#DIV/0!</v>
      </c>
    </row>
    <row r="327" spans="1:10" ht="18.75" hidden="1">
      <c r="A327" s="7"/>
      <c r="B327" s="23" t="s">
        <v>278</v>
      </c>
      <c r="C327" s="17" t="s">
        <v>341</v>
      </c>
      <c r="D327" s="20">
        <v>500</v>
      </c>
      <c r="E327" s="21"/>
      <c r="F327" s="21"/>
      <c r="G327" s="22"/>
      <c r="H327" s="21"/>
      <c r="I327" s="15">
        <f t="shared" si="136"/>
        <v>0</v>
      </c>
      <c r="J327" s="15" t="e">
        <f t="shared" si="137"/>
        <v>#DIV/0!</v>
      </c>
    </row>
    <row r="328" spans="1:10" ht="37.5" hidden="1">
      <c r="A328" s="7"/>
      <c r="B328" s="23" t="s">
        <v>20</v>
      </c>
      <c r="C328" s="17" t="s">
        <v>341</v>
      </c>
      <c r="D328" s="20">
        <v>600</v>
      </c>
      <c r="E328" s="21"/>
      <c r="F328" s="21"/>
      <c r="G328" s="22"/>
      <c r="H328" s="21"/>
      <c r="I328" s="15">
        <f t="shared" si="136"/>
        <v>0</v>
      </c>
      <c r="J328" s="15" t="e">
        <f t="shared" si="137"/>
        <v>#DIV/0!</v>
      </c>
    </row>
    <row r="329" spans="1:10" ht="37.5">
      <c r="A329" s="7"/>
      <c r="B329" s="23" t="s">
        <v>342</v>
      </c>
      <c r="C329" s="17" t="s">
        <v>343</v>
      </c>
      <c r="D329" s="20"/>
      <c r="E329" s="21"/>
      <c r="F329" s="21"/>
      <c r="G329" s="22">
        <f>G330</f>
        <v>102.70926</v>
      </c>
      <c r="H329" s="21">
        <f>H330</f>
        <v>0</v>
      </c>
      <c r="I329" s="15">
        <f t="shared" si="136"/>
        <v>-102.70926</v>
      </c>
      <c r="J329" s="15">
        <f t="shared" si="137"/>
        <v>0</v>
      </c>
    </row>
    <row r="330" spans="1:10" ht="37.5">
      <c r="A330" s="7"/>
      <c r="B330" s="23" t="s">
        <v>32</v>
      </c>
      <c r="C330" s="17" t="s">
        <v>343</v>
      </c>
      <c r="D330" s="20">
        <v>200</v>
      </c>
      <c r="E330" s="21"/>
      <c r="F330" s="21"/>
      <c r="G330" s="22">
        <f>200-97.29074</f>
        <v>102.70926</v>
      </c>
      <c r="H330" s="21"/>
      <c r="I330" s="15">
        <f t="shared" si="136"/>
        <v>-102.70926</v>
      </c>
      <c r="J330" s="15">
        <f t="shared" si="137"/>
        <v>0</v>
      </c>
    </row>
    <row r="331" spans="1:10" ht="58.5" customHeight="1">
      <c r="A331" s="11">
        <v>9</v>
      </c>
      <c r="B331" s="31" t="s">
        <v>344</v>
      </c>
      <c r="C331" s="13" t="s">
        <v>345</v>
      </c>
      <c r="D331" s="20"/>
      <c r="E331" s="21"/>
      <c r="F331" s="21"/>
      <c r="G331" s="29">
        <f>G332+G334</f>
        <v>818.56299999999999</v>
      </c>
      <c r="H331" s="15">
        <f>H332+H334</f>
        <v>580.98873000000003</v>
      </c>
      <c r="I331" s="15">
        <f t="shared" si="136"/>
        <v>-237.57426999999996</v>
      </c>
      <c r="J331" s="15">
        <f t="shared" si="137"/>
        <v>70.976666426408229</v>
      </c>
    </row>
    <row r="332" spans="1:10" ht="18.75">
      <c r="A332" s="7"/>
      <c r="B332" s="23" t="s">
        <v>346</v>
      </c>
      <c r="C332" s="17" t="s">
        <v>347</v>
      </c>
      <c r="D332" s="20"/>
      <c r="E332" s="21"/>
      <c r="F332" s="21"/>
      <c r="G332" s="22">
        <f>G333</f>
        <v>745.86800000000005</v>
      </c>
      <c r="H332" s="21">
        <f>H333</f>
        <v>392.50272999999999</v>
      </c>
      <c r="I332" s="21">
        <f t="shared" si="136"/>
        <v>-353.36527000000007</v>
      </c>
      <c r="J332" s="21">
        <f t="shared" si="137"/>
        <v>52.623618388240267</v>
      </c>
    </row>
    <row r="333" spans="1:10" ht="37.5">
      <c r="A333" s="7"/>
      <c r="B333" s="23" t="s">
        <v>32</v>
      </c>
      <c r="C333" s="17" t="s">
        <v>347</v>
      </c>
      <c r="D333" s="20">
        <v>200</v>
      </c>
      <c r="E333" s="21"/>
      <c r="F333" s="21"/>
      <c r="G333" s="22">
        <v>745.86800000000005</v>
      </c>
      <c r="H333" s="21">
        <v>392.50272999999999</v>
      </c>
      <c r="I333" s="21">
        <f t="shared" si="136"/>
        <v>-353.36527000000007</v>
      </c>
      <c r="J333" s="21">
        <f t="shared" si="137"/>
        <v>52.623618388240267</v>
      </c>
    </row>
    <row r="334" spans="1:10" ht="18.75">
      <c r="A334" s="7"/>
      <c r="B334" s="23" t="s">
        <v>348</v>
      </c>
      <c r="C334" s="17" t="s">
        <v>349</v>
      </c>
      <c r="D334" s="20"/>
      <c r="E334" s="21"/>
      <c r="F334" s="21"/>
      <c r="G334" s="22">
        <f>G335</f>
        <v>72.694999999999993</v>
      </c>
      <c r="H334" s="21">
        <f>H335</f>
        <v>188.48599999999999</v>
      </c>
      <c r="I334" s="21">
        <f t="shared" si="136"/>
        <v>115.791</v>
      </c>
      <c r="J334" s="21">
        <f t="shared" si="137"/>
        <v>259.28330696746684</v>
      </c>
    </row>
    <row r="335" spans="1:10" ht="37.5">
      <c r="A335" s="7"/>
      <c r="B335" s="23" t="s">
        <v>32</v>
      </c>
      <c r="C335" s="17" t="s">
        <v>349</v>
      </c>
      <c r="D335" s="20">
        <v>200</v>
      </c>
      <c r="E335" s="21"/>
      <c r="F335" s="21"/>
      <c r="G335" s="22">
        <f>100-27.305</f>
        <v>72.694999999999993</v>
      </c>
      <c r="H335" s="21">
        <v>188.48599999999999</v>
      </c>
      <c r="I335" s="21">
        <f t="shared" si="136"/>
        <v>115.791</v>
      </c>
      <c r="J335" s="21">
        <f t="shared" si="137"/>
        <v>259.28330696746684</v>
      </c>
    </row>
    <row r="336" spans="1:10" ht="80.25" customHeight="1">
      <c r="A336" s="11">
        <v>10</v>
      </c>
      <c r="B336" s="31" t="s">
        <v>350</v>
      </c>
      <c r="C336" s="13" t="s">
        <v>351</v>
      </c>
      <c r="D336" s="14"/>
      <c r="E336" s="15">
        <f>E337+E341+E344</f>
        <v>2706.4</v>
      </c>
      <c r="F336" s="15">
        <f t="shared" ref="F336" si="138">F337+F341+F344</f>
        <v>0</v>
      </c>
      <c r="G336" s="29">
        <f t="shared" ref="G336" si="139">G337+G341+G344</f>
        <v>6358.6479999999992</v>
      </c>
      <c r="H336" s="15">
        <f t="shared" ref="H336" si="140">H337+H341+H344</f>
        <v>4468.5152200000002</v>
      </c>
      <c r="I336" s="15">
        <f t="shared" si="136"/>
        <v>-1890.132779999999</v>
      </c>
      <c r="J336" s="15">
        <f t="shared" si="137"/>
        <v>70.274612150255848</v>
      </c>
    </row>
    <row r="337" spans="1:10" ht="39" customHeight="1">
      <c r="A337" s="7"/>
      <c r="B337" s="23" t="s">
        <v>352</v>
      </c>
      <c r="C337" s="17" t="s">
        <v>353</v>
      </c>
      <c r="D337" s="20"/>
      <c r="E337" s="21">
        <f t="shared" ref="E337:H337" si="141">E338</f>
        <v>1110</v>
      </c>
      <c r="F337" s="21">
        <v>0</v>
      </c>
      <c r="G337" s="22">
        <f t="shared" si="141"/>
        <v>2747.7</v>
      </c>
      <c r="H337" s="21">
        <f t="shared" si="141"/>
        <v>1803</v>
      </c>
      <c r="I337" s="21">
        <f t="shared" si="136"/>
        <v>-944.69999999999982</v>
      </c>
      <c r="J337" s="21">
        <f t="shared" si="137"/>
        <v>65.618517305382682</v>
      </c>
    </row>
    <row r="338" spans="1:10" ht="20.100000000000001" customHeight="1">
      <c r="A338" s="7"/>
      <c r="B338" s="23" t="s">
        <v>354</v>
      </c>
      <c r="C338" s="17" t="s">
        <v>355</v>
      </c>
      <c r="D338" s="20"/>
      <c r="E338" s="21">
        <f>E340</f>
        <v>1110</v>
      </c>
      <c r="F338" s="21">
        <f t="shared" ref="F338" si="142">F340</f>
        <v>0</v>
      </c>
      <c r="G338" s="22">
        <f>G340+G339</f>
        <v>2747.7</v>
      </c>
      <c r="H338" s="21">
        <f>H340+H339</f>
        <v>1803</v>
      </c>
      <c r="I338" s="21">
        <f t="shared" si="136"/>
        <v>-944.69999999999982</v>
      </c>
      <c r="J338" s="21">
        <f t="shared" si="137"/>
        <v>65.618517305382682</v>
      </c>
    </row>
    <row r="339" spans="1:10" ht="45" hidden="1" customHeight="1">
      <c r="A339" s="7"/>
      <c r="B339" s="23" t="s">
        <v>147</v>
      </c>
      <c r="C339" s="17" t="s">
        <v>355</v>
      </c>
      <c r="D339" s="20">
        <v>100</v>
      </c>
      <c r="E339" s="21"/>
      <c r="F339" s="21"/>
      <c r="G339" s="22"/>
      <c r="H339" s="21"/>
      <c r="I339" s="21">
        <f t="shared" si="136"/>
        <v>0</v>
      </c>
      <c r="J339" s="21" t="e">
        <f t="shared" si="137"/>
        <v>#DIV/0!</v>
      </c>
    </row>
    <row r="340" spans="1:10" ht="37.5">
      <c r="A340" s="7"/>
      <c r="B340" s="23" t="s">
        <v>32</v>
      </c>
      <c r="C340" s="17" t="s">
        <v>355</v>
      </c>
      <c r="D340" s="20">
        <v>200</v>
      </c>
      <c r="E340" s="21">
        <v>1110</v>
      </c>
      <c r="F340" s="21">
        <v>0</v>
      </c>
      <c r="G340" s="22">
        <f>2617.7+130</f>
        <v>2747.7</v>
      </c>
      <c r="H340" s="21">
        <v>1803</v>
      </c>
      <c r="I340" s="21">
        <f t="shared" si="136"/>
        <v>-944.69999999999982</v>
      </c>
      <c r="J340" s="21">
        <f t="shared" si="137"/>
        <v>65.618517305382682</v>
      </c>
    </row>
    <row r="341" spans="1:10" ht="60" customHeight="1">
      <c r="A341" s="7"/>
      <c r="B341" s="23" t="s">
        <v>356</v>
      </c>
      <c r="C341" s="17" t="s">
        <v>357</v>
      </c>
      <c r="D341" s="20"/>
      <c r="E341" s="21">
        <f t="shared" ref="E341:H342" si="143">E342</f>
        <v>30</v>
      </c>
      <c r="F341" s="21">
        <f t="shared" si="143"/>
        <v>0</v>
      </c>
      <c r="G341" s="22">
        <f t="shared" si="143"/>
        <v>42</v>
      </c>
      <c r="H341" s="21">
        <f t="shared" si="143"/>
        <v>325</v>
      </c>
      <c r="I341" s="21">
        <f t="shared" si="136"/>
        <v>283</v>
      </c>
      <c r="J341" s="21">
        <f t="shared" si="137"/>
        <v>773.80952380952385</v>
      </c>
    </row>
    <row r="342" spans="1:10" ht="37.5">
      <c r="A342" s="7"/>
      <c r="B342" s="23" t="s">
        <v>358</v>
      </c>
      <c r="C342" s="17" t="s">
        <v>359</v>
      </c>
      <c r="D342" s="20"/>
      <c r="E342" s="21">
        <f t="shared" si="143"/>
        <v>30</v>
      </c>
      <c r="F342" s="21">
        <f t="shared" si="143"/>
        <v>0</v>
      </c>
      <c r="G342" s="22">
        <f t="shared" si="143"/>
        <v>42</v>
      </c>
      <c r="H342" s="21">
        <f t="shared" si="143"/>
        <v>325</v>
      </c>
      <c r="I342" s="21">
        <f t="shared" si="136"/>
        <v>283</v>
      </c>
      <c r="J342" s="21">
        <f t="shared" si="137"/>
        <v>773.80952380952385</v>
      </c>
    </row>
    <row r="343" spans="1:10" ht="37.5">
      <c r="A343" s="7"/>
      <c r="B343" s="23" t="s">
        <v>32</v>
      </c>
      <c r="C343" s="17" t="s">
        <v>359</v>
      </c>
      <c r="D343" s="20">
        <v>200</v>
      </c>
      <c r="E343" s="21">
        <v>30</v>
      </c>
      <c r="F343" s="21"/>
      <c r="G343" s="22">
        <f>342-300</f>
        <v>42</v>
      </c>
      <c r="H343" s="21">
        <v>325</v>
      </c>
      <c r="I343" s="21">
        <f t="shared" si="136"/>
        <v>283</v>
      </c>
      <c r="J343" s="21">
        <f t="shared" si="137"/>
        <v>773.80952380952385</v>
      </c>
    </row>
    <row r="344" spans="1:10" ht="40.5" customHeight="1">
      <c r="A344" s="7"/>
      <c r="B344" s="23" t="s">
        <v>360</v>
      </c>
      <c r="C344" s="17" t="s">
        <v>361</v>
      </c>
      <c r="D344" s="20"/>
      <c r="E344" s="21">
        <f t="shared" ref="E344:H345" si="144">E345</f>
        <v>1566.4</v>
      </c>
      <c r="F344" s="21">
        <f t="shared" si="144"/>
        <v>0</v>
      </c>
      <c r="G344" s="22">
        <f t="shared" si="144"/>
        <v>3568.9479999999999</v>
      </c>
      <c r="H344" s="21">
        <f t="shared" si="144"/>
        <v>2340.5152200000002</v>
      </c>
      <c r="I344" s="21">
        <f t="shared" si="136"/>
        <v>-1228.4327799999996</v>
      </c>
      <c r="J344" s="21">
        <f t="shared" si="137"/>
        <v>65.579975387705289</v>
      </c>
    </row>
    <row r="345" spans="1:10" ht="22.5" customHeight="1">
      <c r="A345" s="7"/>
      <c r="B345" s="23" t="s">
        <v>362</v>
      </c>
      <c r="C345" s="17" t="s">
        <v>363</v>
      </c>
      <c r="D345" s="20" t="s">
        <v>15</v>
      </c>
      <c r="E345" s="21">
        <f t="shared" si="144"/>
        <v>1566.4</v>
      </c>
      <c r="F345" s="21">
        <f t="shared" si="144"/>
        <v>0</v>
      </c>
      <c r="G345" s="22">
        <f t="shared" si="144"/>
        <v>3568.9479999999999</v>
      </c>
      <c r="H345" s="21">
        <f t="shared" si="144"/>
        <v>2340.5152200000002</v>
      </c>
      <c r="I345" s="21">
        <f t="shared" si="136"/>
        <v>-1228.4327799999996</v>
      </c>
      <c r="J345" s="21">
        <f t="shared" si="137"/>
        <v>65.579975387705289</v>
      </c>
    </row>
    <row r="346" spans="1:10" ht="37.5">
      <c r="A346" s="7"/>
      <c r="B346" s="23" t="s">
        <v>364</v>
      </c>
      <c r="C346" s="17" t="s">
        <v>365</v>
      </c>
      <c r="D346" s="20"/>
      <c r="E346" s="21">
        <f>E347+E348+E349</f>
        <v>1566.4</v>
      </c>
      <c r="F346" s="21">
        <f t="shared" ref="F346" si="145">F347+F348+F349</f>
        <v>0</v>
      </c>
      <c r="G346" s="22">
        <f t="shared" ref="G346" si="146">G347+G348+G349</f>
        <v>3568.9479999999999</v>
      </c>
      <c r="H346" s="21">
        <f t="shared" ref="H346" si="147">H347+H348+H349</f>
        <v>2340.5152200000002</v>
      </c>
      <c r="I346" s="21">
        <f t="shared" si="136"/>
        <v>-1228.4327799999996</v>
      </c>
      <c r="J346" s="21">
        <f t="shared" si="137"/>
        <v>65.579975387705289</v>
      </c>
    </row>
    <row r="347" spans="1:10" ht="57.75" customHeight="1">
      <c r="A347" s="7"/>
      <c r="B347" s="23" t="s">
        <v>147</v>
      </c>
      <c r="C347" s="17" t="s">
        <v>365</v>
      </c>
      <c r="D347" s="20" t="s">
        <v>148</v>
      </c>
      <c r="E347" s="21">
        <v>1473.3</v>
      </c>
      <c r="F347" s="21"/>
      <c r="G347" s="22">
        <v>3240.9479999999999</v>
      </c>
      <c r="H347" s="21">
        <v>2018.2929300000001</v>
      </c>
      <c r="I347" s="21">
        <f t="shared" si="136"/>
        <v>-1222.6550699999998</v>
      </c>
      <c r="J347" s="21">
        <f t="shared" si="137"/>
        <v>62.274770530104163</v>
      </c>
    </row>
    <row r="348" spans="1:10" ht="37.5">
      <c r="A348" s="7"/>
      <c r="B348" s="23" t="s">
        <v>32</v>
      </c>
      <c r="C348" s="17" t="s">
        <v>365</v>
      </c>
      <c r="D348" s="20" t="s">
        <v>149</v>
      </c>
      <c r="E348" s="21">
        <v>92.7</v>
      </c>
      <c r="F348" s="21"/>
      <c r="G348" s="22">
        <f>327.5+0.5</f>
        <v>328</v>
      </c>
      <c r="H348" s="21">
        <v>322.22228999999999</v>
      </c>
      <c r="I348" s="21">
        <f t="shared" si="136"/>
        <v>-5.7777100000000132</v>
      </c>
      <c r="J348" s="21">
        <f t="shared" si="137"/>
        <v>98.238503048780473</v>
      </c>
    </row>
    <row r="349" spans="1:10" ht="18.75" hidden="1">
      <c r="A349" s="7"/>
      <c r="B349" s="23" t="s">
        <v>121</v>
      </c>
      <c r="C349" s="17" t="s">
        <v>365</v>
      </c>
      <c r="D349" s="20">
        <v>800</v>
      </c>
      <c r="E349" s="21">
        <v>0.4</v>
      </c>
      <c r="F349" s="21"/>
      <c r="G349" s="22">
        <f>0.5-0.5</f>
        <v>0</v>
      </c>
      <c r="H349" s="21">
        <v>0</v>
      </c>
      <c r="I349" s="21">
        <f t="shared" si="136"/>
        <v>0</v>
      </c>
      <c r="J349" s="21" t="e">
        <f t="shared" si="137"/>
        <v>#DIV/0!</v>
      </c>
    </row>
    <row r="350" spans="1:10" ht="37.5">
      <c r="A350" s="11">
        <v>11</v>
      </c>
      <c r="B350" s="31" t="s">
        <v>366</v>
      </c>
      <c r="C350" s="13" t="s">
        <v>367</v>
      </c>
      <c r="D350" s="20"/>
      <c r="E350" s="21"/>
      <c r="F350" s="21"/>
      <c r="G350" s="29">
        <f>G351+G353+G356+G360</f>
        <v>6017.5619999999999</v>
      </c>
      <c r="H350" s="15" t="e">
        <f>H351+H354+H356+H358</f>
        <v>#REF!</v>
      </c>
      <c r="I350" s="15" t="e">
        <f t="shared" si="136"/>
        <v>#REF!</v>
      </c>
      <c r="J350" s="15" t="e">
        <f t="shared" si="137"/>
        <v>#REF!</v>
      </c>
    </row>
    <row r="351" spans="1:10" ht="30.75" hidden="1" customHeight="1">
      <c r="A351" s="11"/>
      <c r="B351" s="23" t="s">
        <v>368</v>
      </c>
      <c r="C351" s="17" t="s">
        <v>369</v>
      </c>
      <c r="D351" s="20"/>
      <c r="E351" s="21"/>
      <c r="F351" s="21"/>
      <c r="G351" s="22">
        <f>G352</f>
        <v>0</v>
      </c>
      <c r="H351" s="21" t="e">
        <f>H352+#REF!</f>
        <v>#REF!</v>
      </c>
      <c r="I351" s="15" t="e">
        <f t="shared" si="136"/>
        <v>#REF!</v>
      </c>
      <c r="J351" s="15" t="e">
        <f t="shared" si="137"/>
        <v>#REF!</v>
      </c>
    </row>
    <row r="352" spans="1:10" ht="37.5" hidden="1">
      <c r="A352" s="11"/>
      <c r="B352" s="23" t="s">
        <v>244</v>
      </c>
      <c r="C352" s="17" t="s">
        <v>369</v>
      </c>
      <c r="D352" s="20">
        <v>400</v>
      </c>
      <c r="E352" s="21"/>
      <c r="F352" s="21"/>
      <c r="G352" s="22"/>
      <c r="H352" s="21"/>
      <c r="I352" s="15">
        <f t="shared" si="136"/>
        <v>0</v>
      </c>
      <c r="J352" s="15" t="e">
        <f t="shared" si="137"/>
        <v>#DIV/0!</v>
      </c>
    </row>
    <row r="353" spans="1:10" ht="37.5">
      <c r="A353" s="11"/>
      <c r="B353" s="23" t="s">
        <v>370</v>
      </c>
      <c r="C353" s="17" t="s">
        <v>371</v>
      </c>
      <c r="D353" s="20"/>
      <c r="E353" s="21"/>
      <c r="F353" s="21"/>
      <c r="G353" s="22">
        <f>G354</f>
        <v>1891.74584</v>
      </c>
      <c r="H353" s="21"/>
      <c r="I353" s="15"/>
      <c r="J353" s="15"/>
    </row>
    <row r="354" spans="1:10" ht="42" customHeight="1">
      <c r="A354" s="11"/>
      <c r="B354" s="23" t="s">
        <v>372</v>
      </c>
      <c r="C354" s="17" t="s">
        <v>373</v>
      </c>
      <c r="D354" s="20"/>
      <c r="E354" s="21"/>
      <c r="F354" s="21"/>
      <c r="G354" s="22">
        <f>G355</f>
        <v>1891.74584</v>
      </c>
      <c r="H354" s="21" t="e">
        <f>H355+#REF!</f>
        <v>#REF!</v>
      </c>
      <c r="I354" s="21" t="e">
        <f t="shared" si="136"/>
        <v>#REF!</v>
      </c>
      <c r="J354" s="21" t="e">
        <f t="shared" si="137"/>
        <v>#REF!</v>
      </c>
    </row>
    <row r="355" spans="1:10" ht="20.25" customHeight="1">
      <c r="A355" s="11"/>
      <c r="B355" s="23" t="s">
        <v>45</v>
      </c>
      <c r="C355" s="17" t="s">
        <v>373</v>
      </c>
      <c r="D355" s="20">
        <v>300</v>
      </c>
      <c r="E355" s="21"/>
      <c r="F355" s="21"/>
      <c r="G355" s="22">
        <v>1891.74584</v>
      </c>
      <c r="H355" s="21">
        <v>2092.9607999999998</v>
      </c>
      <c r="I355" s="21">
        <f t="shared" si="136"/>
        <v>201.21495999999979</v>
      </c>
      <c r="J355" s="21">
        <f t="shared" si="137"/>
        <v>110.6364690089658</v>
      </c>
    </row>
    <row r="356" spans="1:10" ht="42" customHeight="1">
      <c r="A356" s="11"/>
      <c r="B356" s="23" t="s">
        <v>374</v>
      </c>
      <c r="C356" s="17" t="s">
        <v>375</v>
      </c>
      <c r="D356" s="20"/>
      <c r="E356" s="21"/>
      <c r="F356" s="21"/>
      <c r="G356" s="22">
        <f>G357</f>
        <v>3545.8161599999999</v>
      </c>
      <c r="H356" s="21">
        <f>H357</f>
        <v>1823.5081700000001</v>
      </c>
      <c r="I356" s="21">
        <f t="shared" si="136"/>
        <v>-1722.3079899999998</v>
      </c>
      <c r="J356" s="21">
        <f t="shared" si="137"/>
        <v>51.42703647670217</v>
      </c>
    </row>
    <row r="357" spans="1:10" ht="18.75">
      <c r="A357" s="11"/>
      <c r="B357" s="23" t="s">
        <v>278</v>
      </c>
      <c r="C357" s="17" t="s">
        <v>375</v>
      </c>
      <c r="D357" s="20">
        <v>500</v>
      </c>
      <c r="E357" s="21"/>
      <c r="F357" s="21"/>
      <c r="G357" s="22">
        <f>3241.70316+304.113</f>
        <v>3545.8161599999999</v>
      </c>
      <c r="H357" s="21">
        <v>1823.5081700000001</v>
      </c>
      <c r="I357" s="21">
        <f t="shared" si="136"/>
        <v>-1722.3079899999998</v>
      </c>
      <c r="J357" s="21">
        <f t="shared" si="137"/>
        <v>51.42703647670217</v>
      </c>
    </row>
    <row r="358" spans="1:10" ht="37.5" hidden="1">
      <c r="A358" s="11"/>
      <c r="B358" s="23" t="s">
        <v>376</v>
      </c>
      <c r="C358" s="17" t="s">
        <v>377</v>
      </c>
      <c r="D358" s="20"/>
      <c r="E358" s="21"/>
      <c r="F358" s="21"/>
      <c r="G358" s="22">
        <f>G359</f>
        <v>0</v>
      </c>
      <c r="H358" s="21">
        <f>H359</f>
        <v>30943.54</v>
      </c>
      <c r="I358" s="21">
        <f t="shared" si="136"/>
        <v>30943.54</v>
      </c>
      <c r="J358" s="21" t="e">
        <f t="shared" si="137"/>
        <v>#DIV/0!</v>
      </c>
    </row>
    <row r="359" spans="1:10" ht="18.75" hidden="1">
      <c r="A359" s="11"/>
      <c r="B359" s="23" t="s">
        <v>378</v>
      </c>
      <c r="C359" s="17" t="s">
        <v>377</v>
      </c>
      <c r="D359" s="20">
        <v>500</v>
      </c>
      <c r="E359" s="21"/>
      <c r="F359" s="21"/>
      <c r="G359" s="22"/>
      <c r="H359" s="21">
        <v>30943.54</v>
      </c>
      <c r="I359" s="21">
        <f t="shared" si="136"/>
        <v>30943.54</v>
      </c>
      <c r="J359" s="21" t="e">
        <f t="shared" si="137"/>
        <v>#DIV/0!</v>
      </c>
    </row>
    <row r="360" spans="1:10" ht="24.75" customHeight="1">
      <c r="A360" s="11"/>
      <c r="B360" s="23" t="s">
        <v>330</v>
      </c>
      <c r="C360" s="17" t="s">
        <v>379</v>
      </c>
      <c r="D360" s="20"/>
      <c r="E360" s="21"/>
      <c r="F360" s="21"/>
      <c r="G360" s="22">
        <f>G361</f>
        <v>580</v>
      </c>
      <c r="H360" s="21"/>
      <c r="I360" s="21"/>
      <c r="J360" s="21"/>
    </row>
    <row r="361" spans="1:10" ht="18.75">
      <c r="A361" s="11"/>
      <c r="B361" s="23" t="s">
        <v>278</v>
      </c>
      <c r="C361" s="17" t="s">
        <v>379</v>
      </c>
      <c r="D361" s="20">
        <v>500</v>
      </c>
      <c r="E361" s="21"/>
      <c r="F361" s="21"/>
      <c r="G361" s="22">
        <v>580</v>
      </c>
      <c r="H361" s="21"/>
      <c r="I361" s="21"/>
      <c r="J361" s="21"/>
    </row>
    <row r="362" spans="1:10" ht="42" customHeight="1">
      <c r="A362" s="11">
        <v>12</v>
      </c>
      <c r="B362" s="31" t="s">
        <v>380</v>
      </c>
      <c r="C362" s="13" t="s">
        <v>381</v>
      </c>
      <c r="D362" s="14"/>
      <c r="E362" s="15">
        <f t="shared" ref="E362:H362" si="148">E363</f>
        <v>100</v>
      </c>
      <c r="F362" s="15">
        <f t="shared" si="148"/>
        <v>0</v>
      </c>
      <c r="G362" s="29">
        <f t="shared" si="148"/>
        <v>130</v>
      </c>
      <c r="H362" s="15">
        <f t="shared" si="148"/>
        <v>129.80601999999999</v>
      </c>
      <c r="I362" s="15">
        <f t="shared" si="136"/>
        <v>-0.19398000000001048</v>
      </c>
      <c r="J362" s="15">
        <f t="shared" si="137"/>
        <v>99.850784615384597</v>
      </c>
    </row>
    <row r="363" spans="1:10" ht="37.5">
      <c r="A363" s="7"/>
      <c r="B363" s="23" t="s">
        <v>382</v>
      </c>
      <c r="C363" s="17" t="s">
        <v>383</v>
      </c>
      <c r="D363" s="20"/>
      <c r="E363" s="21">
        <f>E365</f>
        <v>100</v>
      </c>
      <c r="F363" s="21">
        <f>F365</f>
        <v>0</v>
      </c>
      <c r="G363" s="22">
        <f>G365+G364</f>
        <v>130</v>
      </c>
      <c r="H363" s="21">
        <f>H365+H364</f>
        <v>129.80601999999999</v>
      </c>
      <c r="I363" s="21">
        <f t="shared" si="136"/>
        <v>-0.19398000000001048</v>
      </c>
      <c r="J363" s="21">
        <f t="shared" si="137"/>
        <v>99.850784615384597</v>
      </c>
    </row>
    <row r="364" spans="1:10" ht="37.5">
      <c r="A364" s="7"/>
      <c r="B364" s="23" t="s">
        <v>32</v>
      </c>
      <c r="C364" s="17" t="s">
        <v>383</v>
      </c>
      <c r="D364" s="20">
        <v>200</v>
      </c>
      <c r="E364" s="21"/>
      <c r="F364" s="21"/>
      <c r="G364" s="22">
        <v>130</v>
      </c>
      <c r="H364" s="21">
        <v>129.80601999999999</v>
      </c>
      <c r="I364" s="21">
        <f t="shared" si="136"/>
        <v>-0.19398000000001048</v>
      </c>
      <c r="J364" s="21">
        <f t="shared" si="137"/>
        <v>99.850784615384597</v>
      </c>
    </row>
    <row r="365" spans="1:10" ht="37.5" hidden="1">
      <c r="A365" s="7"/>
      <c r="B365" s="23" t="s">
        <v>20</v>
      </c>
      <c r="C365" s="17" t="s">
        <v>383</v>
      </c>
      <c r="D365" s="20">
        <v>600</v>
      </c>
      <c r="E365" s="21">
        <v>100</v>
      </c>
      <c r="F365" s="21"/>
      <c r="G365" s="22"/>
      <c r="H365" s="21"/>
      <c r="I365" s="21">
        <f t="shared" si="136"/>
        <v>0</v>
      </c>
      <c r="J365" s="21" t="e">
        <f t="shared" si="137"/>
        <v>#DIV/0!</v>
      </c>
    </row>
    <row r="366" spans="1:10" ht="37.5">
      <c r="A366" s="11">
        <v>13</v>
      </c>
      <c r="B366" s="31" t="s">
        <v>384</v>
      </c>
      <c r="C366" s="13" t="s">
        <v>385</v>
      </c>
      <c r="D366" s="14"/>
      <c r="E366" s="15">
        <f>E367+E369+E371</f>
        <v>566</v>
      </c>
      <c r="F366" s="15">
        <f t="shared" ref="F366" si="149">F367+F369+F371</f>
        <v>0</v>
      </c>
      <c r="G366" s="29">
        <f>G367+G369+G371+G373+G375</f>
        <v>1422.55053</v>
      </c>
      <c r="H366" s="15">
        <f>H367+H369+H371+H373</f>
        <v>576.11920999999995</v>
      </c>
      <c r="I366" s="15">
        <f t="shared" si="136"/>
        <v>-846.43132000000003</v>
      </c>
      <c r="J366" s="15">
        <f t="shared" si="137"/>
        <v>40.499033099372575</v>
      </c>
    </row>
    <row r="367" spans="1:10" ht="37.5">
      <c r="A367" s="7"/>
      <c r="B367" s="23" t="s">
        <v>386</v>
      </c>
      <c r="C367" s="17" t="s">
        <v>387</v>
      </c>
      <c r="D367" s="20"/>
      <c r="E367" s="21">
        <f>E368</f>
        <v>546</v>
      </c>
      <c r="F367" s="21">
        <f t="shared" ref="F367:H367" si="150">F368</f>
        <v>0</v>
      </c>
      <c r="G367" s="22">
        <f t="shared" si="150"/>
        <v>896.3</v>
      </c>
      <c r="H367" s="21">
        <f t="shared" si="150"/>
        <v>486.11921000000001</v>
      </c>
      <c r="I367" s="21">
        <f t="shared" si="136"/>
        <v>-410.18078999999994</v>
      </c>
      <c r="J367" s="21">
        <f t="shared" si="137"/>
        <v>54.236216668526168</v>
      </c>
    </row>
    <row r="368" spans="1:10" ht="37.5">
      <c r="A368" s="7"/>
      <c r="B368" s="23" t="s">
        <v>20</v>
      </c>
      <c r="C368" s="17" t="s">
        <v>387</v>
      </c>
      <c r="D368" s="20">
        <v>600</v>
      </c>
      <c r="E368" s="21">
        <v>546</v>
      </c>
      <c r="F368" s="21"/>
      <c r="G368" s="22">
        <v>896.3</v>
      </c>
      <c r="H368" s="21">
        <v>486.11921000000001</v>
      </c>
      <c r="I368" s="21">
        <f t="shared" si="136"/>
        <v>-410.18078999999994</v>
      </c>
      <c r="J368" s="21">
        <f t="shared" si="137"/>
        <v>54.236216668526168</v>
      </c>
    </row>
    <row r="369" spans="1:10" ht="18.75">
      <c r="A369" s="7"/>
      <c r="B369" s="23" t="s">
        <v>388</v>
      </c>
      <c r="C369" s="17" t="s">
        <v>389</v>
      </c>
      <c r="D369" s="20"/>
      <c r="E369" s="21">
        <f t="shared" ref="E369:H369" si="151">E370</f>
        <v>10</v>
      </c>
      <c r="F369" s="21">
        <f t="shared" si="151"/>
        <v>0</v>
      </c>
      <c r="G369" s="22">
        <f t="shared" si="151"/>
        <v>50</v>
      </c>
      <c r="H369" s="21">
        <f t="shared" si="151"/>
        <v>0</v>
      </c>
      <c r="I369" s="21">
        <f t="shared" si="136"/>
        <v>-50</v>
      </c>
      <c r="J369" s="21">
        <f t="shared" si="137"/>
        <v>0</v>
      </c>
    </row>
    <row r="370" spans="1:10" ht="37.5">
      <c r="A370" s="7"/>
      <c r="B370" s="23" t="s">
        <v>20</v>
      </c>
      <c r="C370" s="17" t="s">
        <v>389</v>
      </c>
      <c r="D370" s="20">
        <v>600</v>
      </c>
      <c r="E370" s="21">
        <v>10</v>
      </c>
      <c r="F370" s="21"/>
      <c r="G370" s="22">
        <v>50</v>
      </c>
      <c r="H370" s="21">
        <v>0</v>
      </c>
      <c r="I370" s="21">
        <f t="shared" si="136"/>
        <v>-50</v>
      </c>
      <c r="J370" s="21">
        <f t="shared" si="137"/>
        <v>0</v>
      </c>
    </row>
    <row r="371" spans="1:10" ht="37.5" hidden="1">
      <c r="A371" s="7"/>
      <c r="B371" s="23" t="s">
        <v>390</v>
      </c>
      <c r="C371" s="17" t="s">
        <v>391</v>
      </c>
      <c r="D371" s="20"/>
      <c r="E371" s="21">
        <f t="shared" ref="E371:H371" si="152">E372</f>
        <v>10</v>
      </c>
      <c r="F371" s="21">
        <f t="shared" si="152"/>
        <v>0</v>
      </c>
      <c r="G371" s="22">
        <f t="shared" si="152"/>
        <v>0</v>
      </c>
      <c r="H371" s="21">
        <f t="shared" si="152"/>
        <v>0</v>
      </c>
      <c r="I371" s="15">
        <f t="shared" si="136"/>
        <v>0</v>
      </c>
      <c r="J371" s="15" t="e">
        <f t="shared" si="137"/>
        <v>#DIV/0!</v>
      </c>
    </row>
    <row r="372" spans="1:10" ht="37.5" hidden="1">
      <c r="A372" s="7"/>
      <c r="B372" s="23" t="s">
        <v>32</v>
      </c>
      <c r="C372" s="17" t="s">
        <v>391</v>
      </c>
      <c r="D372" s="20">
        <v>200</v>
      </c>
      <c r="E372" s="21">
        <v>10</v>
      </c>
      <c r="F372" s="21"/>
      <c r="G372" s="22">
        <v>0</v>
      </c>
      <c r="H372" s="21"/>
      <c r="I372" s="15">
        <f t="shared" si="136"/>
        <v>0</v>
      </c>
      <c r="J372" s="15" t="e">
        <f t="shared" si="137"/>
        <v>#DIV/0!</v>
      </c>
    </row>
    <row r="373" spans="1:10" ht="37.5" hidden="1">
      <c r="A373" s="7"/>
      <c r="B373" s="23" t="s">
        <v>392</v>
      </c>
      <c r="C373" s="17" t="s">
        <v>393</v>
      </c>
      <c r="D373" s="20"/>
      <c r="E373" s="21"/>
      <c r="F373" s="21"/>
      <c r="G373" s="22">
        <f>G374</f>
        <v>0</v>
      </c>
      <c r="H373" s="21">
        <f>H374</f>
        <v>90</v>
      </c>
      <c r="I373" s="21">
        <f>H373-G373</f>
        <v>90</v>
      </c>
      <c r="J373" s="21" t="e">
        <f>H373/G373*100</f>
        <v>#DIV/0!</v>
      </c>
    </row>
    <row r="374" spans="1:10" ht="37.5" hidden="1">
      <c r="A374" s="7"/>
      <c r="B374" s="23" t="s">
        <v>20</v>
      </c>
      <c r="C374" s="17" t="s">
        <v>393</v>
      </c>
      <c r="D374" s="20">
        <v>600</v>
      </c>
      <c r="E374" s="21"/>
      <c r="F374" s="21"/>
      <c r="G374" s="22">
        <v>0</v>
      </c>
      <c r="H374" s="21">
        <v>90</v>
      </c>
      <c r="I374" s="21">
        <f>H374-G374</f>
        <v>90</v>
      </c>
      <c r="J374" s="21" t="e">
        <f>H374/G374*100</f>
        <v>#DIV/0!</v>
      </c>
    </row>
    <row r="375" spans="1:10" ht="18.75">
      <c r="A375" s="7"/>
      <c r="B375" s="23" t="s">
        <v>394</v>
      </c>
      <c r="C375" s="17" t="s">
        <v>395</v>
      </c>
      <c r="D375" s="20"/>
      <c r="E375" s="21"/>
      <c r="F375" s="21"/>
      <c r="G375" s="22">
        <f>G376</f>
        <v>476.25053000000003</v>
      </c>
      <c r="H375" s="21"/>
      <c r="I375" s="21"/>
      <c r="J375" s="21"/>
    </row>
    <row r="376" spans="1:10" ht="37.5">
      <c r="A376" s="7"/>
      <c r="B376" s="23" t="s">
        <v>396</v>
      </c>
      <c r="C376" s="17" t="s">
        <v>397</v>
      </c>
      <c r="D376" s="20"/>
      <c r="E376" s="21"/>
      <c r="F376" s="21"/>
      <c r="G376" s="22">
        <f>G377</f>
        <v>476.25053000000003</v>
      </c>
      <c r="H376" s="21"/>
      <c r="I376" s="21"/>
      <c r="J376" s="21"/>
    </row>
    <row r="377" spans="1:10" ht="37.5">
      <c r="A377" s="7"/>
      <c r="B377" s="23" t="s">
        <v>20</v>
      </c>
      <c r="C377" s="17" t="s">
        <v>397</v>
      </c>
      <c r="D377" s="20">
        <v>600</v>
      </c>
      <c r="E377" s="21"/>
      <c r="F377" s="21"/>
      <c r="G377" s="22">
        <f>476+0.25053</f>
        <v>476.25053000000003</v>
      </c>
      <c r="H377" s="21"/>
      <c r="I377" s="21"/>
      <c r="J377" s="21"/>
    </row>
    <row r="378" spans="1:10" ht="77.25" customHeight="1">
      <c r="A378" s="11">
        <v>14</v>
      </c>
      <c r="B378" s="31" t="s">
        <v>398</v>
      </c>
      <c r="C378" s="13" t="s">
        <v>399</v>
      </c>
      <c r="D378" s="14"/>
      <c r="E378" s="15" t="e">
        <f>#REF!</f>
        <v>#REF!</v>
      </c>
      <c r="F378" s="15" t="e">
        <f>#REF!</f>
        <v>#REF!</v>
      </c>
      <c r="G378" s="29">
        <f>G381+G379</f>
        <v>2170</v>
      </c>
      <c r="H378" s="15">
        <f>H381</f>
        <v>3112.2137600000001</v>
      </c>
      <c r="I378" s="15">
        <f t="shared" ref="I378:I437" si="153">H378-G378</f>
        <v>942.21376000000009</v>
      </c>
      <c r="J378" s="15">
        <f t="shared" ref="J378:J437" si="154">H378/G378*100</f>
        <v>143.41998894009217</v>
      </c>
    </row>
    <row r="379" spans="1:10" ht="21.75" customHeight="1">
      <c r="A379" s="11"/>
      <c r="B379" s="32" t="s">
        <v>400</v>
      </c>
      <c r="C379" s="17" t="s">
        <v>401</v>
      </c>
      <c r="D379" s="20"/>
      <c r="E379" s="15"/>
      <c r="F379" s="15"/>
      <c r="G379" s="22">
        <f>G380</f>
        <v>20</v>
      </c>
      <c r="H379" s="15"/>
      <c r="I379" s="15"/>
      <c r="J379" s="15"/>
    </row>
    <row r="380" spans="1:10" ht="22.5" customHeight="1">
      <c r="A380" s="11"/>
      <c r="B380" s="23" t="s">
        <v>45</v>
      </c>
      <c r="C380" s="17" t="s">
        <v>401</v>
      </c>
      <c r="D380" s="20">
        <v>300</v>
      </c>
      <c r="E380" s="15"/>
      <c r="F380" s="15"/>
      <c r="G380" s="22">
        <f>100-80</f>
        <v>20</v>
      </c>
      <c r="H380" s="15"/>
      <c r="I380" s="15"/>
      <c r="J380" s="15"/>
    </row>
    <row r="381" spans="1:10" ht="37.5">
      <c r="A381" s="7"/>
      <c r="B381" s="23" t="s">
        <v>402</v>
      </c>
      <c r="C381" s="17" t="s">
        <v>403</v>
      </c>
      <c r="D381" s="20"/>
      <c r="E381" s="21"/>
      <c r="F381" s="21"/>
      <c r="G381" s="22">
        <f>G382</f>
        <v>2150</v>
      </c>
      <c r="H381" s="21">
        <f>H382</f>
        <v>3112.2137600000001</v>
      </c>
      <c r="I381" s="21">
        <f t="shared" si="153"/>
        <v>962.21376000000009</v>
      </c>
      <c r="J381" s="21">
        <f t="shared" si="154"/>
        <v>144.75412837209302</v>
      </c>
    </row>
    <row r="382" spans="1:10" ht="18.75">
      <c r="A382" s="7"/>
      <c r="B382" s="23" t="s">
        <v>45</v>
      </c>
      <c r="C382" s="17" t="s">
        <v>403</v>
      </c>
      <c r="D382" s="20">
        <v>300</v>
      </c>
      <c r="E382" s="21"/>
      <c r="F382" s="21"/>
      <c r="G382" s="22">
        <f>2000+150</f>
        <v>2150</v>
      </c>
      <c r="H382" s="21">
        <v>3112.2137600000001</v>
      </c>
      <c r="I382" s="21">
        <f t="shared" si="153"/>
        <v>962.21376000000009</v>
      </c>
      <c r="J382" s="21">
        <f t="shared" si="154"/>
        <v>144.75412837209302</v>
      </c>
    </row>
    <row r="383" spans="1:10" ht="56.25" hidden="1">
      <c r="A383" s="11">
        <v>15</v>
      </c>
      <c r="B383" s="31" t="s">
        <v>404</v>
      </c>
      <c r="C383" s="13" t="s">
        <v>405</v>
      </c>
      <c r="D383" s="20"/>
      <c r="E383" s="21"/>
      <c r="F383" s="21"/>
      <c r="G383" s="29">
        <f>G384</f>
        <v>0</v>
      </c>
      <c r="H383" s="15">
        <f>H384</f>
        <v>0</v>
      </c>
      <c r="I383" s="15">
        <f t="shared" si="153"/>
        <v>0</v>
      </c>
      <c r="J383" s="15" t="e">
        <f t="shared" si="154"/>
        <v>#DIV/0!</v>
      </c>
    </row>
    <row r="384" spans="1:10" ht="37.5" hidden="1">
      <c r="A384" s="7"/>
      <c r="B384" s="23" t="s">
        <v>406</v>
      </c>
      <c r="C384" s="17" t="s">
        <v>407</v>
      </c>
      <c r="D384" s="20"/>
      <c r="E384" s="21"/>
      <c r="F384" s="21"/>
      <c r="G384" s="22">
        <f>G385</f>
        <v>0</v>
      </c>
      <c r="H384" s="21">
        <f>H385</f>
        <v>0</v>
      </c>
      <c r="I384" s="21">
        <f t="shared" si="153"/>
        <v>0</v>
      </c>
      <c r="J384" s="21" t="e">
        <f t="shared" si="154"/>
        <v>#DIV/0!</v>
      </c>
    </row>
    <row r="385" spans="1:10" ht="37.5" hidden="1">
      <c r="A385" s="7"/>
      <c r="B385" s="23" t="s">
        <v>32</v>
      </c>
      <c r="C385" s="17" t="s">
        <v>407</v>
      </c>
      <c r="D385" s="20">
        <v>200</v>
      </c>
      <c r="E385" s="21"/>
      <c r="F385" s="21"/>
      <c r="G385" s="22">
        <v>0</v>
      </c>
      <c r="H385" s="21">
        <v>0</v>
      </c>
      <c r="I385" s="21">
        <f t="shared" si="153"/>
        <v>0</v>
      </c>
      <c r="J385" s="21" t="e">
        <f t="shared" si="154"/>
        <v>#DIV/0!</v>
      </c>
    </row>
    <row r="386" spans="1:10" ht="58.5" customHeight="1">
      <c r="A386" s="11">
        <v>15</v>
      </c>
      <c r="B386" s="31" t="s">
        <v>408</v>
      </c>
      <c r="C386" s="13" t="s">
        <v>409</v>
      </c>
      <c r="D386" s="14"/>
      <c r="E386" s="15">
        <f>E387+E389+E391</f>
        <v>225</v>
      </c>
      <c r="F386" s="15">
        <f t="shared" ref="F386" si="155">F387+F389+F391</f>
        <v>0</v>
      </c>
      <c r="G386" s="29">
        <f t="shared" ref="G386" si="156">G387+G389+G391</f>
        <v>740.24700000000007</v>
      </c>
      <c r="H386" s="15">
        <f t="shared" ref="H386" si="157">H387+H389+H391</f>
        <v>220</v>
      </c>
      <c r="I386" s="15">
        <f t="shared" si="153"/>
        <v>-520.24700000000007</v>
      </c>
      <c r="J386" s="15">
        <f t="shared" si="154"/>
        <v>29.719809739181645</v>
      </c>
    </row>
    <row r="387" spans="1:10" ht="37.5">
      <c r="A387" s="7"/>
      <c r="B387" s="23" t="s">
        <v>410</v>
      </c>
      <c r="C387" s="17" t="s">
        <v>411</v>
      </c>
      <c r="D387" s="20"/>
      <c r="E387" s="21">
        <f t="shared" ref="E387:H387" si="158">E388</f>
        <v>25</v>
      </c>
      <c r="F387" s="21">
        <f t="shared" si="158"/>
        <v>0</v>
      </c>
      <c r="G387" s="22">
        <f t="shared" si="158"/>
        <v>63.144999999999996</v>
      </c>
      <c r="H387" s="21">
        <f t="shared" si="158"/>
        <v>100</v>
      </c>
      <c r="I387" s="21">
        <f t="shared" si="153"/>
        <v>36.855000000000004</v>
      </c>
      <c r="J387" s="21">
        <f t="shared" si="154"/>
        <v>158.36566632354106</v>
      </c>
    </row>
    <row r="388" spans="1:10" ht="37.5">
      <c r="A388" s="7"/>
      <c r="B388" s="23" t="s">
        <v>32</v>
      </c>
      <c r="C388" s="17" t="s">
        <v>411</v>
      </c>
      <c r="D388" s="20">
        <v>200</v>
      </c>
      <c r="E388" s="21">
        <v>25</v>
      </c>
      <c r="F388" s="21"/>
      <c r="G388" s="22">
        <f>69-5.855</f>
        <v>63.144999999999996</v>
      </c>
      <c r="H388" s="21">
        <v>100</v>
      </c>
      <c r="I388" s="21">
        <f t="shared" si="153"/>
        <v>36.855000000000004</v>
      </c>
      <c r="J388" s="21">
        <f t="shared" si="154"/>
        <v>158.36566632354106</v>
      </c>
    </row>
    <row r="389" spans="1:10" ht="18.75">
      <c r="A389" s="7"/>
      <c r="B389" s="23" t="s">
        <v>412</v>
      </c>
      <c r="C389" s="17" t="s">
        <v>413</v>
      </c>
      <c r="D389" s="20"/>
      <c r="E389" s="21">
        <f t="shared" ref="E389:H389" si="159">E390</f>
        <v>15</v>
      </c>
      <c r="F389" s="21">
        <f t="shared" si="159"/>
        <v>0</v>
      </c>
      <c r="G389" s="22">
        <f t="shared" si="159"/>
        <v>137.102</v>
      </c>
      <c r="H389" s="21">
        <f t="shared" si="159"/>
        <v>21</v>
      </c>
      <c r="I389" s="15">
        <f t="shared" si="153"/>
        <v>-116.102</v>
      </c>
      <c r="J389" s="15">
        <f t="shared" si="154"/>
        <v>15.317063208414172</v>
      </c>
    </row>
    <row r="390" spans="1:10" ht="37.5">
      <c r="A390" s="7"/>
      <c r="B390" s="23" t="s">
        <v>32</v>
      </c>
      <c r="C390" s="17" t="s">
        <v>413</v>
      </c>
      <c r="D390" s="20">
        <v>200</v>
      </c>
      <c r="E390" s="21">
        <v>15</v>
      </c>
      <c r="F390" s="21"/>
      <c r="G390" s="22">
        <f>15+155-32.898</f>
        <v>137.102</v>
      </c>
      <c r="H390" s="21">
        <v>21</v>
      </c>
      <c r="I390" s="21">
        <f t="shared" si="153"/>
        <v>-116.102</v>
      </c>
      <c r="J390" s="21">
        <f t="shared" si="154"/>
        <v>15.317063208414172</v>
      </c>
    </row>
    <row r="391" spans="1:10" ht="18.75">
      <c r="A391" s="7"/>
      <c r="B391" s="23" t="s">
        <v>414</v>
      </c>
      <c r="C391" s="17" t="s">
        <v>415</v>
      </c>
      <c r="D391" s="20"/>
      <c r="E391" s="21">
        <f>E392+E393</f>
        <v>185</v>
      </c>
      <c r="F391" s="21">
        <f t="shared" ref="F391" si="160">F392+F393</f>
        <v>0</v>
      </c>
      <c r="G391" s="22">
        <f t="shared" ref="G391" si="161">G392+G393</f>
        <v>540</v>
      </c>
      <c r="H391" s="21">
        <f t="shared" ref="H391" si="162">H392+H393</f>
        <v>99</v>
      </c>
      <c r="I391" s="15">
        <f t="shared" si="153"/>
        <v>-441</v>
      </c>
      <c r="J391" s="15">
        <f t="shared" si="154"/>
        <v>18.333333333333332</v>
      </c>
    </row>
    <row r="392" spans="1:10" ht="37.5">
      <c r="A392" s="7"/>
      <c r="B392" s="23" t="s">
        <v>32</v>
      </c>
      <c r="C392" s="17" t="s">
        <v>415</v>
      </c>
      <c r="D392" s="20">
        <v>200</v>
      </c>
      <c r="E392" s="21">
        <v>180</v>
      </c>
      <c r="F392" s="21"/>
      <c r="G392" s="22">
        <v>540</v>
      </c>
      <c r="H392" s="21">
        <v>99</v>
      </c>
      <c r="I392" s="21">
        <f t="shared" si="153"/>
        <v>-441</v>
      </c>
      <c r="J392" s="21">
        <f t="shared" si="154"/>
        <v>18.333333333333332</v>
      </c>
    </row>
    <row r="393" spans="1:10" ht="37.5" hidden="1">
      <c r="A393" s="7"/>
      <c r="B393" s="23" t="s">
        <v>20</v>
      </c>
      <c r="C393" s="17" t="s">
        <v>415</v>
      </c>
      <c r="D393" s="20">
        <v>600</v>
      </c>
      <c r="E393" s="21">
        <v>5</v>
      </c>
      <c r="F393" s="21"/>
      <c r="G393" s="22">
        <v>0</v>
      </c>
      <c r="H393" s="21">
        <v>0</v>
      </c>
      <c r="I393" s="21">
        <f t="shared" si="153"/>
        <v>0</v>
      </c>
      <c r="J393" s="21" t="e">
        <f t="shared" si="154"/>
        <v>#DIV/0!</v>
      </c>
    </row>
    <row r="394" spans="1:10" ht="56.25">
      <c r="A394" s="11">
        <v>16</v>
      </c>
      <c r="B394" s="31" t="s">
        <v>416</v>
      </c>
      <c r="C394" s="13" t="s">
        <v>417</v>
      </c>
      <c r="D394" s="14"/>
      <c r="E394" s="15">
        <f>E395+E401+E405</f>
        <v>2494.9</v>
      </c>
      <c r="F394" s="15">
        <f t="shared" ref="F394" si="163">F395+F401+F405</f>
        <v>8443.6999999999989</v>
      </c>
      <c r="G394" s="29">
        <f t="shared" ref="G394" si="164">G395+G401+G405</f>
        <v>31532.894260000001</v>
      </c>
      <c r="H394" s="15">
        <f t="shared" ref="H394" si="165">H395+H401+H405</f>
        <v>18524.325000000001</v>
      </c>
      <c r="I394" s="15">
        <f t="shared" si="153"/>
        <v>-13008.56926</v>
      </c>
      <c r="J394" s="15">
        <f t="shared" si="154"/>
        <v>58.746034687651282</v>
      </c>
    </row>
    <row r="395" spans="1:10" ht="18.75">
      <c r="A395" s="11"/>
      <c r="B395" s="23" t="s">
        <v>418</v>
      </c>
      <c r="C395" s="17" t="s">
        <v>419</v>
      </c>
      <c r="D395" s="14"/>
      <c r="E395" s="21">
        <f>E396</f>
        <v>1494.9</v>
      </c>
      <c r="F395" s="21">
        <f t="shared" ref="F395:H395" si="166">F396</f>
        <v>1894.8</v>
      </c>
      <c r="G395" s="22">
        <f t="shared" si="166"/>
        <v>16560.520260000001</v>
      </c>
      <c r="H395" s="21">
        <f t="shared" si="166"/>
        <v>11844</v>
      </c>
      <c r="I395" s="21">
        <f t="shared" si="153"/>
        <v>-4716.5202600000011</v>
      </c>
      <c r="J395" s="21">
        <f t="shared" si="154"/>
        <v>71.519492226387328</v>
      </c>
    </row>
    <row r="396" spans="1:10" ht="56.25">
      <c r="A396" s="7"/>
      <c r="B396" s="23" t="s">
        <v>420</v>
      </c>
      <c r="C396" s="17" t="s">
        <v>421</v>
      </c>
      <c r="D396" s="20"/>
      <c r="E396" s="21">
        <f>E399</f>
        <v>1494.9</v>
      </c>
      <c r="F396" s="21">
        <f t="shared" ref="F396" si="167">F399</f>
        <v>1894.8</v>
      </c>
      <c r="G396" s="22">
        <f>G399+G397</f>
        <v>16560.520260000001</v>
      </c>
      <c r="H396" s="21">
        <f>H399+H397</f>
        <v>11844</v>
      </c>
      <c r="I396" s="21">
        <f t="shared" si="153"/>
        <v>-4716.5202600000011</v>
      </c>
      <c r="J396" s="21">
        <f t="shared" si="154"/>
        <v>71.519492226387328</v>
      </c>
    </row>
    <row r="397" spans="1:10" ht="44.25" customHeight="1">
      <c r="A397" s="7"/>
      <c r="B397" s="23" t="s">
        <v>422</v>
      </c>
      <c r="C397" s="17" t="s">
        <v>423</v>
      </c>
      <c r="D397" s="20"/>
      <c r="E397" s="21"/>
      <c r="F397" s="21"/>
      <c r="G397" s="22">
        <f>G398</f>
        <v>1074.798</v>
      </c>
      <c r="H397" s="21">
        <f>H398</f>
        <v>324</v>
      </c>
      <c r="I397" s="21">
        <f t="shared" si="153"/>
        <v>-750.798</v>
      </c>
      <c r="J397" s="21">
        <f t="shared" si="154"/>
        <v>30.145199376999216</v>
      </c>
    </row>
    <row r="398" spans="1:10" ht="18.75">
      <c r="A398" s="7"/>
      <c r="B398" s="23" t="s">
        <v>45</v>
      </c>
      <c r="C398" s="17" t="s">
        <v>423</v>
      </c>
      <c r="D398" s="20">
        <v>300</v>
      </c>
      <c r="E398" s="21"/>
      <c r="F398" s="21"/>
      <c r="G398" s="22">
        <v>1074.798</v>
      </c>
      <c r="H398" s="21">
        <v>324</v>
      </c>
      <c r="I398" s="21">
        <f t="shared" si="153"/>
        <v>-750.798</v>
      </c>
      <c r="J398" s="21">
        <f t="shared" si="154"/>
        <v>30.145199376999216</v>
      </c>
    </row>
    <row r="399" spans="1:10" ht="56.25">
      <c r="A399" s="7"/>
      <c r="B399" s="23" t="s">
        <v>424</v>
      </c>
      <c r="C399" s="17" t="s">
        <v>425</v>
      </c>
      <c r="D399" s="20"/>
      <c r="E399" s="21">
        <f t="shared" ref="E399:H399" si="168">E400</f>
        <v>1494.9</v>
      </c>
      <c r="F399" s="21">
        <f t="shared" si="168"/>
        <v>1894.8</v>
      </c>
      <c r="G399" s="22">
        <f t="shared" si="168"/>
        <v>15485.72226</v>
      </c>
      <c r="H399" s="21">
        <f t="shared" si="168"/>
        <v>11520</v>
      </c>
      <c r="I399" s="21">
        <f t="shared" si="153"/>
        <v>-3965.7222600000005</v>
      </c>
      <c r="J399" s="21">
        <f t="shared" si="154"/>
        <v>74.391105604137323</v>
      </c>
    </row>
    <row r="400" spans="1:10" ht="18.75">
      <c r="A400" s="7"/>
      <c r="B400" s="23" t="s">
        <v>45</v>
      </c>
      <c r="C400" s="17" t="s">
        <v>425</v>
      </c>
      <c r="D400" s="20">
        <v>300</v>
      </c>
      <c r="E400" s="21">
        <v>1494.9</v>
      </c>
      <c r="F400" s="21">
        <v>1894.8</v>
      </c>
      <c r="G400" s="22">
        <v>15485.72226</v>
      </c>
      <c r="H400" s="21">
        <v>11520</v>
      </c>
      <c r="I400" s="21">
        <f t="shared" si="153"/>
        <v>-3965.7222600000005</v>
      </c>
      <c r="J400" s="21">
        <f t="shared" si="154"/>
        <v>74.391105604137323</v>
      </c>
    </row>
    <row r="401" spans="1:14" ht="56.25">
      <c r="A401" s="7"/>
      <c r="B401" s="23" t="s">
        <v>426</v>
      </c>
      <c r="C401" s="17" t="s">
        <v>427</v>
      </c>
      <c r="D401" s="20"/>
      <c r="E401" s="21">
        <f t="shared" ref="E401:H403" si="169">E402</f>
        <v>0</v>
      </c>
      <c r="F401" s="21">
        <f t="shared" si="169"/>
        <v>6548.9</v>
      </c>
      <c r="G401" s="22">
        <f t="shared" si="169"/>
        <v>13972.374</v>
      </c>
      <c r="H401" s="21">
        <f t="shared" si="169"/>
        <v>6680.3249999999998</v>
      </c>
      <c r="I401" s="21">
        <f t="shared" si="153"/>
        <v>-7292.049</v>
      </c>
      <c r="J401" s="21">
        <f t="shared" si="154"/>
        <v>47.810951811052291</v>
      </c>
    </row>
    <row r="402" spans="1:14" ht="75">
      <c r="A402" s="7"/>
      <c r="B402" s="23" t="s">
        <v>428</v>
      </c>
      <c r="C402" s="17" t="s">
        <v>429</v>
      </c>
      <c r="D402" s="20"/>
      <c r="E402" s="21">
        <f t="shared" si="169"/>
        <v>0</v>
      </c>
      <c r="F402" s="21">
        <f t="shared" si="169"/>
        <v>6548.9</v>
      </c>
      <c r="G402" s="22">
        <f t="shared" si="169"/>
        <v>13972.374</v>
      </c>
      <c r="H402" s="21">
        <f t="shared" si="169"/>
        <v>6680.3249999999998</v>
      </c>
      <c r="I402" s="21">
        <f t="shared" si="153"/>
        <v>-7292.049</v>
      </c>
      <c r="J402" s="21">
        <f t="shared" si="154"/>
        <v>47.810951811052291</v>
      </c>
    </row>
    <row r="403" spans="1:14" ht="81.75" customHeight="1">
      <c r="A403" s="7"/>
      <c r="B403" s="23" t="s">
        <v>430</v>
      </c>
      <c r="C403" s="17" t="s">
        <v>431</v>
      </c>
      <c r="D403" s="20"/>
      <c r="E403" s="21">
        <f t="shared" si="169"/>
        <v>0</v>
      </c>
      <c r="F403" s="21">
        <f t="shared" si="169"/>
        <v>6548.9</v>
      </c>
      <c r="G403" s="22">
        <f t="shared" si="169"/>
        <v>13972.374</v>
      </c>
      <c r="H403" s="21">
        <f t="shared" si="169"/>
        <v>6680.3249999999998</v>
      </c>
      <c r="I403" s="21">
        <f t="shared" si="153"/>
        <v>-7292.049</v>
      </c>
      <c r="J403" s="21">
        <f t="shared" si="154"/>
        <v>47.810951811052291</v>
      </c>
    </row>
    <row r="404" spans="1:14" ht="37.5">
      <c r="A404" s="7"/>
      <c r="B404" s="23" t="s">
        <v>244</v>
      </c>
      <c r="C404" s="17" t="s">
        <v>431</v>
      </c>
      <c r="D404" s="20">
        <v>400</v>
      </c>
      <c r="E404" s="21"/>
      <c r="F404" s="21">
        <v>6548.9</v>
      </c>
      <c r="G404" s="22">
        <f>12181.044+1791.33</f>
        <v>13972.374</v>
      </c>
      <c r="H404" s="21">
        <v>6680.3249999999998</v>
      </c>
      <c r="I404" s="21">
        <f t="shared" si="153"/>
        <v>-7292.049</v>
      </c>
      <c r="J404" s="21">
        <f t="shared" si="154"/>
        <v>47.810951811052291</v>
      </c>
    </row>
    <row r="405" spans="1:14" ht="37.5">
      <c r="A405" s="7"/>
      <c r="B405" s="16" t="s">
        <v>432</v>
      </c>
      <c r="C405" s="17" t="s">
        <v>433</v>
      </c>
      <c r="D405" s="20"/>
      <c r="E405" s="21">
        <f t="shared" ref="E405:H405" si="170">E407</f>
        <v>1000</v>
      </c>
      <c r="F405" s="21">
        <f t="shared" si="170"/>
        <v>0</v>
      </c>
      <c r="G405" s="22">
        <f>G406</f>
        <v>1000</v>
      </c>
      <c r="H405" s="21">
        <f t="shared" si="170"/>
        <v>0</v>
      </c>
      <c r="I405" s="21">
        <f t="shared" si="153"/>
        <v>-1000</v>
      </c>
      <c r="J405" s="21">
        <f t="shared" si="154"/>
        <v>0</v>
      </c>
    </row>
    <row r="406" spans="1:14" ht="37.5">
      <c r="A406" s="7"/>
      <c r="B406" s="5" t="s">
        <v>434</v>
      </c>
      <c r="C406" s="17" t="s">
        <v>435</v>
      </c>
      <c r="D406" s="20"/>
      <c r="E406" s="21"/>
      <c r="F406" s="21"/>
      <c r="G406" s="22">
        <f>G407</f>
        <v>1000</v>
      </c>
      <c r="H406" s="21"/>
      <c r="I406" s="21"/>
      <c r="J406" s="21"/>
    </row>
    <row r="407" spans="1:14" ht="37.5">
      <c r="A407" s="7"/>
      <c r="B407" s="23" t="s">
        <v>20</v>
      </c>
      <c r="C407" s="17" t="s">
        <v>435</v>
      </c>
      <c r="D407" s="20">
        <v>600</v>
      </c>
      <c r="E407" s="21">
        <v>1000</v>
      </c>
      <c r="F407" s="21"/>
      <c r="G407" s="22">
        <v>1000</v>
      </c>
      <c r="H407" s="21">
        <v>0</v>
      </c>
      <c r="I407" s="21">
        <f t="shared" si="153"/>
        <v>-1000</v>
      </c>
      <c r="J407" s="21">
        <f t="shared" si="154"/>
        <v>0</v>
      </c>
    </row>
    <row r="408" spans="1:14" ht="37.5">
      <c r="A408" s="11">
        <v>17</v>
      </c>
      <c r="B408" s="31" t="s">
        <v>436</v>
      </c>
      <c r="C408" s="13" t="s">
        <v>437</v>
      </c>
      <c r="D408" s="14"/>
      <c r="E408" s="15">
        <f>E409</f>
        <v>800</v>
      </c>
      <c r="F408" s="15">
        <f t="shared" ref="F408:H408" si="171">F409</f>
        <v>0</v>
      </c>
      <c r="G408" s="29">
        <f t="shared" si="171"/>
        <v>1309.3</v>
      </c>
      <c r="H408" s="15">
        <f t="shared" si="171"/>
        <v>1186.7909999999999</v>
      </c>
      <c r="I408" s="15">
        <f t="shared" si="153"/>
        <v>-122.50900000000001</v>
      </c>
      <c r="J408" s="15">
        <f t="shared" si="154"/>
        <v>90.643168105094318</v>
      </c>
      <c r="N408" s="33" t="e">
        <f>J7+J140+J257+J262+J279+J287+J294+J305+J336+J350+J362+J366+J378+J383+J386+J394+J408</f>
        <v>#REF!</v>
      </c>
    </row>
    <row r="409" spans="1:14" ht="39" customHeight="1">
      <c r="A409" s="7"/>
      <c r="B409" s="23" t="s">
        <v>438</v>
      </c>
      <c r="C409" s="17" t="s">
        <v>439</v>
      </c>
      <c r="D409" s="20"/>
      <c r="E409" s="21">
        <f t="shared" ref="E409:H409" si="172">E410</f>
        <v>800</v>
      </c>
      <c r="F409" s="21">
        <f t="shared" si="172"/>
        <v>0</v>
      </c>
      <c r="G409" s="22">
        <f t="shared" si="172"/>
        <v>1309.3</v>
      </c>
      <c r="H409" s="21">
        <f t="shared" si="172"/>
        <v>1186.7909999999999</v>
      </c>
      <c r="I409" s="21">
        <f t="shared" si="153"/>
        <v>-122.50900000000001</v>
      </c>
      <c r="J409" s="21">
        <f t="shared" si="154"/>
        <v>90.643168105094318</v>
      </c>
    </row>
    <row r="410" spans="1:14" ht="37.5">
      <c r="A410" s="7"/>
      <c r="B410" s="23" t="s">
        <v>32</v>
      </c>
      <c r="C410" s="17" t="s">
        <v>439</v>
      </c>
      <c r="D410" s="20">
        <v>200</v>
      </c>
      <c r="E410" s="21">
        <v>800</v>
      </c>
      <c r="F410" s="21"/>
      <c r="G410" s="22">
        <f>1470.2-12.5-148.4</f>
        <v>1309.3</v>
      </c>
      <c r="H410" s="21">
        <v>1186.7909999999999</v>
      </c>
      <c r="I410" s="21">
        <f t="shared" si="153"/>
        <v>-122.50900000000001</v>
      </c>
      <c r="J410" s="21">
        <f t="shared" si="154"/>
        <v>90.643168105094318</v>
      </c>
    </row>
    <row r="411" spans="1:14" ht="48" customHeight="1">
      <c r="A411" s="11">
        <v>18</v>
      </c>
      <c r="B411" s="31" t="s">
        <v>440</v>
      </c>
      <c r="C411" s="13" t="s">
        <v>441</v>
      </c>
      <c r="D411" s="20"/>
      <c r="E411" s="21"/>
      <c r="F411" s="21"/>
      <c r="G411" s="29">
        <f>G412</f>
        <v>312.52996000000002</v>
      </c>
      <c r="H411" s="15">
        <f>H412</f>
        <v>7566.4629999999997</v>
      </c>
      <c r="I411" s="15">
        <f t="shared" ref="I411:I419" si="173">H411-G411</f>
        <v>7253.9330399999999</v>
      </c>
      <c r="J411" s="15">
        <f t="shared" ref="J411:J419" si="174">H411/G411*100</f>
        <v>2421.0360504317728</v>
      </c>
    </row>
    <row r="412" spans="1:14" ht="33" customHeight="1">
      <c r="A412" s="7"/>
      <c r="B412" s="23" t="s">
        <v>442</v>
      </c>
      <c r="C412" s="17" t="s">
        <v>443</v>
      </c>
      <c r="D412" s="20"/>
      <c r="E412" s="21"/>
      <c r="F412" s="21"/>
      <c r="G412" s="22">
        <f>G413+G415+G417</f>
        <v>312.52996000000002</v>
      </c>
      <c r="H412" s="21">
        <f>H413+H415+H417</f>
        <v>7566.4629999999997</v>
      </c>
      <c r="I412" s="21">
        <f t="shared" si="173"/>
        <v>7253.9330399999999</v>
      </c>
      <c r="J412" s="21">
        <f t="shared" si="174"/>
        <v>2421.0360504317728</v>
      </c>
    </row>
    <row r="413" spans="1:14" ht="59.25" hidden="1" customHeight="1">
      <c r="A413" s="7"/>
      <c r="B413" s="23" t="s">
        <v>444</v>
      </c>
      <c r="C413" s="17" t="s">
        <v>445</v>
      </c>
      <c r="D413" s="20"/>
      <c r="E413" s="21"/>
      <c r="F413" s="21"/>
      <c r="G413" s="22">
        <f>G414</f>
        <v>0</v>
      </c>
      <c r="H413" s="21">
        <f>H414</f>
        <v>635.20989999999995</v>
      </c>
      <c r="I413" s="21">
        <f t="shared" si="173"/>
        <v>635.20989999999995</v>
      </c>
      <c r="J413" s="21" t="e">
        <f t="shared" si="174"/>
        <v>#DIV/0!</v>
      </c>
    </row>
    <row r="414" spans="1:14" ht="41.25" hidden="1" customHeight="1">
      <c r="A414" s="7"/>
      <c r="B414" s="23" t="s">
        <v>244</v>
      </c>
      <c r="C414" s="17" t="s">
        <v>445</v>
      </c>
      <c r="D414" s="20">
        <v>400</v>
      </c>
      <c r="E414" s="21"/>
      <c r="F414" s="21"/>
      <c r="G414" s="22">
        <v>0</v>
      </c>
      <c r="H414" s="21">
        <v>635.20989999999995</v>
      </c>
      <c r="I414" s="21">
        <f t="shared" si="173"/>
        <v>635.20989999999995</v>
      </c>
      <c r="J414" s="21" t="e">
        <f t="shared" si="174"/>
        <v>#DIV/0!</v>
      </c>
    </row>
    <row r="415" spans="1:14" ht="60.75" hidden="1" customHeight="1">
      <c r="A415" s="7"/>
      <c r="B415" s="23" t="s">
        <v>446</v>
      </c>
      <c r="C415" s="17" t="s">
        <v>447</v>
      </c>
      <c r="D415" s="20"/>
      <c r="E415" s="21"/>
      <c r="F415" s="21"/>
      <c r="G415" s="22">
        <f>G416</f>
        <v>0</v>
      </c>
      <c r="H415" s="21">
        <f>H416</f>
        <v>5928.95</v>
      </c>
      <c r="I415" s="21">
        <f t="shared" si="173"/>
        <v>5928.95</v>
      </c>
      <c r="J415" s="21" t="e">
        <f t="shared" si="174"/>
        <v>#DIV/0!</v>
      </c>
    </row>
    <row r="416" spans="1:14" ht="46.5" hidden="1" customHeight="1">
      <c r="A416" s="7"/>
      <c r="B416" s="23" t="s">
        <v>244</v>
      </c>
      <c r="C416" s="17" t="s">
        <v>447</v>
      </c>
      <c r="D416" s="20">
        <v>400</v>
      </c>
      <c r="E416" s="21"/>
      <c r="F416" s="21"/>
      <c r="G416" s="22"/>
      <c r="H416" s="21">
        <v>5928.95</v>
      </c>
      <c r="I416" s="21">
        <f t="shared" si="173"/>
        <v>5928.95</v>
      </c>
      <c r="J416" s="21" t="e">
        <f t="shared" si="174"/>
        <v>#DIV/0!</v>
      </c>
    </row>
    <row r="417" spans="1:10" ht="40.5" customHeight="1">
      <c r="A417" s="7"/>
      <c r="B417" s="23" t="s">
        <v>448</v>
      </c>
      <c r="C417" s="17" t="s">
        <v>449</v>
      </c>
      <c r="D417" s="20"/>
      <c r="E417" s="21"/>
      <c r="F417" s="21"/>
      <c r="G417" s="22">
        <f>G419+G418</f>
        <v>312.52996000000002</v>
      </c>
      <c r="H417" s="21">
        <f>H419</f>
        <v>1002.3031</v>
      </c>
      <c r="I417" s="21">
        <f t="shared" si="173"/>
        <v>689.77314000000001</v>
      </c>
      <c r="J417" s="21">
        <f t="shared" si="174"/>
        <v>320.70624525085532</v>
      </c>
    </row>
    <row r="418" spans="1:10" ht="40.5" customHeight="1">
      <c r="A418" s="7"/>
      <c r="B418" s="23" t="s">
        <v>32</v>
      </c>
      <c r="C418" s="17" t="s">
        <v>449</v>
      </c>
      <c r="D418" s="20">
        <v>200</v>
      </c>
      <c r="E418" s="21"/>
      <c r="F418" s="21"/>
      <c r="G418" s="22">
        <v>312.52996000000002</v>
      </c>
      <c r="H418" s="21"/>
      <c r="I418" s="21"/>
      <c r="J418" s="21"/>
    </row>
    <row r="419" spans="1:10" ht="39" customHeight="1">
      <c r="A419" s="7"/>
      <c r="B419" s="23" t="s">
        <v>244</v>
      </c>
      <c r="C419" s="17" t="s">
        <v>449</v>
      </c>
      <c r="D419" s="20">
        <v>400</v>
      </c>
      <c r="E419" s="21"/>
      <c r="F419" s="21"/>
      <c r="G419" s="22">
        <v>0</v>
      </c>
      <c r="H419" s="21">
        <v>1002.3031</v>
      </c>
      <c r="I419" s="21">
        <f t="shared" si="173"/>
        <v>1002.3031</v>
      </c>
      <c r="J419" s="21" t="e">
        <f t="shared" si="174"/>
        <v>#DIV/0!</v>
      </c>
    </row>
    <row r="420" spans="1:10" ht="75">
      <c r="A420" s="11">
        <v>19</v>
      </c>
      <c r="B420" s="31" t="s">
        <v>450</v>
      </c>
      <c r="C420" s="13" t="s">
        <v>451</v>
      </c>
      <c r="D420" s="14"/>
      <c r="E420" s="15">
        <f>E421</f>
        <v>2011.7</v>
      </c>
      <c r="F420" s="15">
        <f t="shared" ref="F420:H420" si="175">F421</f>
        <v>0</v>
      </c>
      <c r="G420" s="29">
        <f t="shared" si="175"/>
        <v>3959.5581700000002</v>
      </c>
      <c r="H420" s="15">
        <f t="shared" si="175"/>
        <v>1299.1460199999999</v>
      </c>
      <c r="I420" s="15">
        <f t="shared" si="153"/>
        <v>-2660.4121500000001</v>
      </c>
      <c r="J420" s="15">
        <f t="shared" si="154"/>
        <v>32.810378436743612</v>
      </c>
    </row>
    <row r="421" spans="1:10" ht="77.099999999999994" customHeight="1">
      <c r="A421" s="7"/>
      <c r="B421" s="23" t="s">
        <v>452</v>
      </c>
      <c r="C421" s="17" t="s">
        <v>453</v>
      </c>
      <c r="D421" s="20"/>
      <c r="E421" s="21">
        <f>E422+E424+E426+E428</f>
        <v>2011.7</v>
      </c>
      <c r="F421" s="21">
        <f t="shared" ref="F421" si="176">F422+F424+F426+F428</f>
        <v>0</v>
      </c>
      <c r="G421" s="22">
        <f t="shared" ref="G421" si="177">G422+G424+G426+G428</f>
        <v>3959.5581700000002</v>
      </c>
      <c r="H421" s="15">
        <f t="shared" ref="H421" si="178">H422+H424+H426+H428</f>
        <v>1299.1460199999999</v>
      </c>
      <c r="I421" s="15">
        <f t="shared" si="153"/>
        <v>-2660.4121500000001</v>
      </c>
      <c r="J421" s="15">
        <f t="shared" si="154"/>
        <v>32.810378436743612</v>
      </c>
    </row>
    <row r="422" spans="1:10" ht="39" customHeight="1">
      <c r="A422" s="7"/>
      <c r="B422" s="23" t="s">
        <v>454</v>
      </c>
      <c r="C422" s="17" t="s">
        <v>455</v>
      </c>
      <c r="D422" s="20"/>
      <c r="E422" s="21">
        <f t="shared" ref="E422:H422" si="179">E423</f>
        <v>30</v>
      </c>
      <c r="F422" s="21">
        <f t="shared" si="179"/>
        <v>0</v>
      </c>
      <c r="G422" s="22">
        <f t="shared" si="179"/>
        <v>23.9</v>
      </c>
      <c r="H422" s="21">
        <f t="shared" si="179"/>
        <v>55.5</v>
      </c>
      <c r="I422" s="21">
        <f t="shared" si="153"/>
        <v>31.6</v>
      </c>
      <c r="J422" s="21">
        <f t="shared" si="154"/>
        <v>232.21757322175733</v>
      </c>
    </row>
    <row r="423" spans="1:10" ht="37.5">
      <c r="A423" s="7"/>
      <c r="B423" s="23" t="s">
        <v>32</v>
      </c>
      <c r="C423" s="17" t="s">
        <v>455</v>
      </c>
      <c r="D423" s="20">
        <v>200</v>
      </c>
      <c r="E423" s="21">
        <v>30</v>
      </c>
      <c r="F423" s="21">
        <v>0</v>
      </c>
      <c r="G423" s="22">
        <f>50-26.1</f>
        <v>23.9</v>
      </c>
      <c r="H423" s="21">
        <v>55.5</v>
      </c>
      <c r="I423" s="21">
        <f t="shared" si="153"/>
        <v>31.6</v>
      </c>
      <c r="J423" s="21">
        <f t="shared" si="154"/>
        <v>232.21757322175733</v>
      </c>
    </row>
    <row r="424" spans="1:10" ht="75" customHeight="1">
      <c r="A424" s="7"/>
      <c r="B424" s="23" t="s">
        <v>456</v>
      </c>
      <c r="C424" s="17" t="s">
        <v>457</v>
      </c>
      <c r="D424" s="20"/>
      <c r="E424" s="21">
        <f t="shared" ref="E424:H424" si="180">E425</f>
        <v>200</v>
      </c>
      <c r="F424" s="21">
        <f t="shared" si="180"/>
        <v>0</v>
      </c>
      <c r="G424" s="22">
        <f t="shared" si="180"/>
        <v>175</v>
      </c>
      <c r="H424" s="21">
        <f t="shared" si="180"/>
        <v>111.9</v>
      </c>
      <c r="I424" s="21">
        <f t="shared" si="153"/>
        <v>-63.099999999999994</v>
      </c>
      <c r="J424" s="21">
        <f t="shared" si="154"/>
        <v>63.942857142857143</v>
      </c>
    </row>
    <row r="425" spans="1:10" ht="37.5">
      <c r="A425" s="7"/>
      <c r="B425" s="23" t="s">
        <v>32</v>
      </c>
      <c r="C425" s="17" t="s">
        <v>457</v>
      </c>
      <c r="D425" s="20">
        <v>200</v>
      </c>
      <c r="E425" s="21">
        <v>200</v>
      </c>
      <c r="F425" s="21"/>
      <c r="G425" s="22">
        <f>185-10</f>
        <v>175</v>
      </c>
      <c r="H425" s="21">
        <v>111.9</v>
      </c>
      <c r="I425" s="21">
        <f t="shared" si="153"/>
        <v>-63.099999999999994</v>
      </c>
      <c r="J425" s="21">
        <f t="shared" si="154"/>
        <v>63.942857142857143</v>
      </c>
    </row>
    <row r="426" spans="1:10" ht="18.75">
      <c r="A426" s="7"/>
      <c r="B426" s="23" t="s">
        <v>458</v>
      </c>
      <c r="C426" s="17" t="s">
        <v>459</v>
      </c>
      <c r="D426" s="20"/>
      <c r="E426" s="21">
        <f t="shared" ref="E426:H426" si="181">E427</f>
        <v>210</v>
      </c>
      <c r="F426" s="21">
        <f t="shared" si="181"/>
        <v>0</v>
      </c>
      <c r="G426" s="22">
        <f t="shared" si="181"/>
        <v>240</v>
      </c>
      <c r="H426" s="21">
        <f t="shared" si="181"/>
        <v>86</v>
      </c>
      <c r="I426" s="21">
        <f t="shared" si="153"/>
        <v>-154</v>
      </c>
      <c r="J426" s="21">
        <f t="shared" si="154"/>
        <v>35.833333333333336</v>
      </c>
    </row>
    <row r="427" spans="1:10" ht="37.5">
      <c r="A427" s="7"/>
      <c r="B427" s="23" t="s">
        <v>32</v>
      </c>
      <c r="C427" s="17" t="s">
        <v>459</v>
      </c>
      <c r="D427" s="20">
        <v>200</v>
      </c>
      <c r="E427" s="21">
        <v>210</v>
      </c>
      <c r="F427" s="21"/>
      <c r="G427" s="22">
        <f>250-10</f>
        <v>240</v>
      </c>
      <c r="H427" s="21">
        <v>86</v>
      </c>
      <c r="I427" s="21">
        <f t="shared" si="153"/>
        <v>-154</v>
      </c>
      <c r="J427" s="21">
        <f t="shared" si="154"/>
        <v>35.833333333333336</v>
      </c>
    </row>
    <row r="428" spans="1:10" ht="57.75" customHeight="1">
      <c r="A428" s="7"/>
      <c r="B428" s="23" t="s">
        <v>460</v>
      </c>
      <c r="C428" s="17" t="s">
        <v>461</v>
      </c>
      <c r="D428" s="20"/>
      <c r="E428" s="21">
        <f t="shared" ref="E428:H428" si="182">E429</f>
        <v>1571.7</v>
      </c>
      <c r="F428" s="21">
        <f t="shared" si="182"/>
        <v>0</v>
      </c>
      <c r="G428" s="22">
        <f t="shared" si="182"/>
        <v>3520.6581700000002</v>
      </c>
      <c r="H428" s="21">
        <f t="shared" si="182"/>
        <v>1045.74602</v>
      </c>
      <c r="I428" s="21">
        <f t="shared" si="153"/>
        <v>-2474.9121500000001</v>
      </c>
      <c r="J428" s="21">
        <f t="shared" si="154"/>
        <v>29.703139853534825</v>
      </c>
    </row>
    <row r="429" spans="1:10" ht="37.5">
      <c r="A429" s="7"/>
      <c r="B429" s="23" t="s">
        <v>32</v>
      </c>
      <c r="C429" s="17" t="s">
        <v>461</v>
      </c>
      <c r="D429" s="20">
        <v>200</v>
      </c>
      <c r="E429" s="21">
        <v>1571.7</v>
      </c>
      <c r="F429" s="21"/>
      <c r="G429" s="22">
        <f>3888.33525-367.67708</f>
        <v>3520.6581700000002</v>
      </c>
      <c r="H429" s="21">
        <v>1045.74602</v>
      </c>
      <c r="I429" s="21">
        <f t="shared" si="153"/>
        <v>-2474.9121500000001</v>
      </c>
      <c r="J429" s="21">
        <f t="shared" si="154"/>
        <v>29.703139853534825</v>
      </c>
    </row>
    <row r="430" spans="1:10" ht="27" customHeight="1">
      <c r="A430" s="11">
        <v>20</v>
      </c>
      <c r="B430" s="31" t="s">
        <v>462</v>
      </c>
      <c r="C430" s="13" t="s">
        <v>463</v>
      </c>
      <c r="D430" s="14" t="s">
        <v>15</v>
      </c>
      <c r="E430" s="15" t="e">
        <f>E442+E444+E446+E448+E452+E455+E457+E459+E461+E463+E470+E475+E481+E484+E491+E501+E508</f>
        <v>#REF!</v>
      </c>
      <c r="F430" s="15">
        <f>F442+F444+F446+F448+F452+F455+F457+F459+F461+F463+F470+F475+F481+F484+F491+F501+F508</f>
        <v>55245.604039999998</v>
      </c>
      <c r="G430" s="29">
        <f>G442+G444+G446+G448+G450+G452+G455+G457+G459+G461+G463+G470+G475+G481+G484+G491+G501+G508+G472+G433+G513+G431+G468+G436+G466+G478+G440+G438</f>
        <v>124325.9051</v>
      </c>
      <c r="H430" s="15" t="e">
        <f>H442+H444+H446+H448+H450+H452+H455+H457+H459+H461+H463+H470+H475+H481+H484+H491+H501+H508+H472+H433+H513+H431+H468+H436</f>
        <v>#REF!</v>
      </c>
      <c r="I430" s="15" t="e">
        <f t="shared" si="153"/>
        <v>#REF!</v>
      </c>
      <c r="J430" s="15" t="e">
        <f t="shared" si="154"/>
        <v>#REF!</v>
      </c>
    </row>
    <row r="431" spans="1:10" ht="60" hidden="1" customHeight="1">
      <c r="A431" s="11"/>
      <c r="B431" s="23" t="s">
        <v>464</v>
      </c>
      <c r="C431" s="17" t="s">
        <v>465</v>
      </c>
      <c r="D431" s="20"/>
      <c r="E431" s="15"/>
      <c r="F431" s="15"/>
      <c r="G431" s="22">
        <f>G432</f>
        <v>0</v>
      </c>
      <c r="H431" s="21">
        <f>H432</f>
        <v>0</v>
      </c>
      <c r="I431" s="15">
        <f t="shared" si="153"/>
        <v>0</v>
      </c>
      <c r="J431" s="15" t="e">
        <f t="shared" si="154"/>
        <v>#DIV/0!</v>
      </c>
    </row>
    <row r="432" spans="1:10" ht="39" hidden="1" customHeight="1">
      <c r="A432" s="11"/>
      <c r="B432" s="23" t="s">
        <v>32</v>
      </c>
      <c r="C432" s="17" t="s">
        <v>465</v>
      </c>
      <c r="D432" s="20">
        <v>200</v>
      </c>
      <c r="E432" s="15"/>
      <c r="F432" s="15"/>
      <c r="G432" s="22"/>
      <c r="H432" s="21"/>
      <c r="I432" s="15">
        <f t="shared" si="153"/>
        <v>0</v>
      </c>
      <c r="J432" s="15" t="e">
        <f t="shared" si="154"/>
        <v>#DIV/0!</v>
      </c>
    </row>
    <row r="433" spans="1:10" ht="21" customHeight="1">
      <c r="A433" s="11"/>
      <c r="B433" s="23" t="s">
        <v>466</v>
      </c>
      <c r="C433" s="17" t="s">
        <v>467</v>
      </c>
      <c r="D433" s="14"/>
      <c r="E433" s="15"/>
      <c r="F433" s="15"/>
      <c r="G433" s="22">
        <f>G434+G435</f>
        <v>4860.6252000000004</v>
      </c>
      <c r="H433" s="21">
        <f>H434+H435</f>
        <v>0</v>
      </c>
      <c r="I433" s="15">
        <f t="shared" si="153"/>
        <v>-4860.6252000000004</v>
      </c>
      <c r="J433" s="15">
        <f t="shared" si="154"/>
        <v>0</v>
      </c>
    </row>
    <row r="434" spans="1:10" ht="60" customHeight="1">
      <c r="A434" s="11"/>
      <c r="B434" s="23" t="s">
        <v>147</v>
      </c>
      <c r="C434" s="17" t="s">
        <v>467</v>
      </c>
      <c r="D434" s="20" t="s">
        <v>148</v>
      </c>
      <c r="E434" s="15"/>
      <c r="F434" s="15"/>
      <c r="G434" s="22">
        <f>65.1+335.135+204.075+1041.6+1188.2052+6.51</f>
        <v>2840.6251999999999</v>
      </c>
      <c r="H434" s="21"/>
      <c r="I434" s="15">
        <f t="shared" si="153"/>
        <v>-2840.6251999999999</v>
      </c>
      <c r="J434" s="15">
        <f t="shared" si="154"/>
        <v>0</v>
      </c>
    </row>
    <row r="435" spans="1:10" ht="23.25" customHeight="1">
      <c r="A435" s="11"/>
      <c r="B435" s="23" t="s">
        <v>278</v>
      </c>
      <c r="C435" s="17" t="s">
        <v>467</v>
      </c>
      <c r="D435" s="20">
        <v>500</v>
      </c>
      <c r="E435" s="15"/>
      <c r="F435" s="15"/>
      <c r="G435" s="22">
        <f>2020</f>
        <v>2020</v>
      </c>
      <c r="H435" s="21"/>
      <c r="I435" s="15">
        <f t="shared" si="153"/>
        <v>-2020</v>
      </c>
      <c r="J435" s="15">
        <f t="shared" si="154"/>
        <v>0</v>
      </c>
    </row>
    <row r="436" spans="1:10" ht="75" hidden="1" customHeight="1">
      <c r="A436" s="11"/>
      <c r="B436" s="23" t="s">
        <v>468</v>
      </c>
      <c r="C436" s="17" t="s">
        <v>469</v>
      </c>
      <c r="D436" s="20"/>
      <c r="E436" s="15"/>
      <c r="F436" s="15"/>
      <c r="G436" s="22">
        <f>G437</f>
        <v>0</v>
      </c>
      <c r="H436" s="21" t="e">
        <f>H437+#REF!</f>
        <v>#REF!</v>
      </c>
      <c r="I436" s="21" t="e">
        <f t="shared" si="153"/>
        <v>#REF!</v>
      </c>
      <c r="J436" s="21" t="e">
        <f t="shared" si="154"/>
        <v>#REF!</v>
      </c>
    </row>
    <row r="437" spans="1:10" ht="59.25" hidden="1" customHeight="1">
      <c r="A437" s="11"/>
      <c r="B437" s="23" t="s">
        <v>147</v>
      </c>
      <c r="C437" s="17" t="s">
        <v>469</v>
      </c>
      <c r="D437" s="20" t="s">
        <v>148</v>
      </c>
      <c r="E437" s="15"/>
      <c r="F437" s="15"/>
      <c r="G437" s="22">
        <f>72.42104-72.42104</f>
        <v>0</v>
      </c>
      <c r="H437" s="21">
        <v>1802.61898</v>
      </c>
      <c r="I437" s="21">
        <f t="shared" si="153"/>
        <v>1802.61898</v>
      </c>
      <c r="J437" s="21" t="e">
        <f t="shared" si="154"/>
        <v>#DIV/0!</v>
      </c>
    </row>
    <row r="438" spans="1:10" ht="59.25" hidden="1" customHeight="1">
      <c r="A438" s="11"/>
      <c r="B438" s="44" t="s">
        <v>581</v>
      </c>
      <c r="C438" s="43" t="s">
        <v>580</v>
      </c>
      <c r="D438" s="42"/>
      <c r="E438" s="15"/>
      <c r="F438" s="15"/>
      <c r="G438" s="22">
        <f>G439</f>
        <v>0</v>
      </c>
      <c r="H438" s="21"/>
      <c r="I438" s="21"/>
      <c r="J438" s="21"/>
    </row>
    <row r="439" spans="1:10" ht="59.25" hidden="1" customHeight="1">
      <c r="A439" s="11"/>
      <c r="B439" s="44" t="s">
        <v>147</v>
      </c>
      <c r="C439" s="43" t="s">
        <v>580</v>
      </c>
      <c r="D439" s="42" t="s">
        <v>148</v>
      </c>
      <c r="E439" s="15"/>
      <c r="F439" s="15"/>
      <c r="G439" s="22">
        <f>73.353-73.353</f>
        <v>0</v>
      </c>
      <c r="H439" s="21"/>
      <c r="I439" s="21"/>
      <c r="J439" s="21"/>
    </row>
    <row r="440" spans="1:10" ht="59.25" customHeight="1">
      <c r="A440" s="11"/>
      <c r="B440" s="23" t="s">
        <v>470</v>
      </c>
      <c r="C440" s="17" t="s">
        <v>471</v>
      </c>
      <c r="D440" s="20"/>
      <c r="E440" s="15"/>
      <c r="F440" s="15"/>
      <c r="G440" s="22">
        <f>G441</f>
        <v>66.723929999999996</v>
      </c>
      <c r="H440" s="21"/>
      <c r="I440" s="21"/>
      <c r="J440" s="21"/>
    </row>
    <row r="441" spans="1:10" ht="59.25" customHeight="1">
      <c r="A441" s="11"/>
      <c r="B441" s="23" t="s">
        <v>147</v>
      </c>
      <c r="C441" s="17" t="s">
        <v>471</v>
      </c>
      <c r="D441" s="20">
        <v>100</v>
      </c>
      <c r="E441" s="15"/>
      <c r="F441" s="15"/>
      <c r="G441" s="22">
        <v>66.723929999999996</v>
      </c>
      <c r="H441" s="21"/>
      <c r="I441" s="21"/>
      <c r="J441" s="21"/>
    </row>
    <row r="442" spans="1:10" ht="37.5">
      <c r="A442" s="7"/>
      <c r="B442" s="23" t="s">
        <v>472</v>
      </c>
      <c r="C442" s="17" t="s">
        <v>473</v>
      </c>
      <c r="D442" s="20" t="s">
        <v>15</v>
      </c>
      <c r="E442" s="21">
        <f t="shared" ref="E442:H442" si="183">E443</f>
        <v>0</v>
      </c>
      <c r="F442" s="21">
        <f t="shared" si="183"/>
        <v>3005.4</v>
      </c>
      <c r="G442" s="22">
        <f t="shared" si="183"/>
        <v>6525.8</v>
      </c>
      <c r="H442" s="21">
        <f t="shared" si="183"/>
        <v>3449.8877400000001</v>
      </c>
      <c r="I442" s="21">
        <f t="shared" ref="I442:I509" si="184">H442-G442</f>
        <v>-3075.9122600000001</v>
      </c>
      <c r="J442" s="21">
        <f t="shared" ref="J442:J509" si="185">H442/G442*100</f>
        <v>52.865361181770801</v>
      </c>
    </row>
    <row r="443" spans="1:10" ht="18.75">
      <c r="A443" s="7"/>
      <c r="B443" s="23" t="s">
        <v>45</v>
      </c>
      <c r="C443" s="17" t="s">
        <v>473</v>
      </c>
      <c r="D443" s="20">
        <v>300</v>
      </c>
      <c r="E443" s="21"/>
      <c r="F443" s="21">
        <v>3005.4</v>
      </c>
      <c r="G443" s="22">
        <v>6525.8</v>
      </c>
      <c r="H443" s="21">
        <v>3449.8877400000001</v>
      </c>
      <c r="I443" s="21">
        <f t="shared" si="184"/>
        <v>-3075.9122600000001</v>
      </c>
      <c r="J443" s="21">
        <f t="shared" si="185"/>
        <v>52.865361181770801</v>
      </c>
    </row>
    <row r="444" spans="1:10" ht="60" customHeight="1">
      <c r="A444" s="7"/>
      <c r="B444" s="23" t="s">
        <v>474</v>
      </c>
      <c r="C444" s="17" t="s">
        <v>475</v>
      </c>
      <c r="D444" s="20" t="s">
        <v>15</v>
      </c>
      <c r="E444" s="21">
        <f t="shared" ref="E444:H444" si="186">E445</f>
        <v>0</v>
      </c>
      <c r="F444" s="21">
        <f t="shared" si="186"/>
        <v>9992.9</v>
      </c>
      <c r="G444" s="22">
        <f t="shared" si="186"/>
        <v>14302.1</v>
      </c>
      <c r="H444" s="21">
        <f t="shared" si="186"/>
        <v>9459.0408094590002</v>
      </c>
      <c r="I444" s="21">
        <f t="shared" si="184"/>
        <v>-4843.0591905410001</v>
      </c>
      <c r="J444" s="21">
        <f t="shared" si="185"/>
        <v>66.137426038546806</v>
      </c>
    </row>
    <row r="445" spans="1:10" ht="18.75">
      <c r="A445" s="7"/>
      <c r="B445" s="23" t="s">
        <v>45</v>
      </c>
      <c r="C445" s="17" t="s">
        <v>475</v>
      </c>
      <c r="D445" s="20">
        <v>300</v>
      </c>
      <c r="E445" s="21"/>
      <c r="F445" s="21">
        <v>9992.9</v>
      </c>
      <c r="G445" s="22">
        <v>14302.1</v>
      </c>
      <c r="H445" s="21">
        <v>9459.0408094590002</v>
      </c>
      <c r="I445" s="21">
        <f t="shared" si="184"/>
        <v>-4843.0591905410001</v>
      </c>
      <c r="J445" s="21">
        <f t="shared" si="185"/>
        <v>66.137426038546806</v>
      </c>
    </row>
    <row r="446" spans="1:10" ht="39" hidden="1" customHeight="1">
      <c r="A446" s="7"/>
      <c r="B446" s="23" t="s">
        <v>476</v>
      </c>
      <c r="C446" s="17" t="s">
        <v>477</v>
      </c>
      <c r="D446" s="20" t="s">
        <v>15</v>
      </c>
      <c r="E446" s="21">
        <f t="shared" ref="E446:H446" si="187">E447</f>
        <v>0</v>
      </c>
      <c r="F446" s="21">
        <f t="shared" si="187"/>
        <v>34</v>
      </c>
      <c r="G446" s="22">
        <f t="shared" si="187"/>
        <v>0</v>
      </c>
      <c r="H446" s="21">
        <f t="shared" si="187"/>
        <v>0</v>
      </c>
      <c r="I446" s="15">
        <f t="shared" si="184"/>
        <v>0</v>
      </c>
      <c r="J446" s="15" t="e">
        <f t="shared" si="185"/>
        <v>#DIV/0!</v>
      </c>
    </row>
    <row r="447" spans="1:10" ht="18.75" hidden="1">
      <c r="A447" s="7"/>
      <c r="B447" s="23" t="s">
        <v>45</v>
      </c>
      <c r="C447" s="17" t="s">
        <v>477</v>
      </c>
      <c r="D447" s="20">
        <v>300</v>
      </c>
      <c r="E447" s="21"/>
      <c r="F447" s="21">
        <v>34</v>
      </c>
      <c r="G447" s="22"/>
      <c r="H447" s="21"/>
      <c r="I447" s="15">
        <f t="shared" si="184"/>
        <v>0</v>
      </c>
      <c r="J447" s="15" t="e">
        <f t="shared" si="185"/>
        <v>#DIV/0!</v>
      </c>
    </row>
    <row r="448" spans="1:10" ht="75">
      <c r="A448" s="7"/>
      <c r="B448" s="23" t="s">
        <v>478</v>
      </c>
      <c r="C448" s="17" t="s">
        <v>479</v>
      </c>
      <c r="D448" s="20"/>
      <c r="E448" s="21">
        <f t="shared" ref="E448:H448" si="188">E449</f>
        <v>0</v>
      </c>
      <c r="F448" s="21">
        <f t="shared" si="188"/>
        <v>60</v>
      </c>
      <c r="G448" s="22">
        <f t="shared" si="188"/>
        <v>20</v>
      </c>
      <c r="H448" s="21">
        <f t="shared" si="188"/>
        <v>0</v>
      </c>
      <c r="I448" s="21">
        <f t="shared" si="184"/>
        <v>-20</v>
      </c>
      <c r="J448" s="21">
        <f t="shared" si="185"/>
        <v>0</v>
      </c>
    </row>
    <row r="449" spans="1:10" ht="18.75">
      <c r="A449" s="7"/>
      <c r="B449" s="23" t="s">
        <v>45</v>
      </c>
      <c r="C449" s="17" t="s">
        <v>479</v>
      </c>
      <c r="D449" s="20">
        <v>300</v>
      </c>
      <c r="E449" s="21"/>
      <c r="F449" s="21">
        <v>60</v>
      </c>
      <c r="G449" s="22">
        <v>20</v>
      </c>
      <c r="H449" s="21">
        <v>0</v>
      </c>
      <c r="I449" s="21">
        <f t="shared" si="184"/>
        <v>-20</v>
      </c>
      <c r="J449" s="21">
        <f t="shared" si="185"/>
        <v>0</v>
      </c>
    </row>
    <row r="450" spans="1:10" ht="56.25" hidden="1">
      <c r="A450" s="7"/>
      <c r="B450" s="23" t="s">
        <v>480</v>
      </c>
      <c r="C450" s="17" t="s">
        <v>481</v>
      </c>
      <c r="D450" s="20"/>
      <c r="E450" s="21"/>
      <c r="F450" s="21"/>
      <c r="G450" s="22">
        <f>G451</f>
        <v>0</v>
      </c>
      <c r="H450" s="21">
        <f>H451</f>
        <v>0</v>
      </c>
      <c r="I450" s="15">
        <f t="shared" si="184"/>
        <v>0</v>
      </c>
      <c r="J450" s="15" t="e">
        <f t="shared" si="185"/>
        <v>#DIV/0!</v>
      </c>
    </row>
    <row r="451" spans="1:10" ht="18.75" hidden="1">
      <c r="A451" s="7"/>
      <c r="B451" s="23" t="s">
        <v>278</v>
      </c>
      <c r="C451" s="17" t="s">
        <v>481</v>
      </c>
      <c r="D451" s="20">
        <v>500</v>
      </c>
      <c r="E451" s="21"/>
      <c r="F451" s="21"/>
      <c r="G451" s="22"/>
      <c r="H451" s="21"/>
      <c r="I451" s="15">
        <f t="shared" si="184"/>
        <v>0</v>
      </c>
      <c r="J451" s="15" t="e">
        <f t="shared" si="185"/>
        <v>#DIV/0!</v>
      </c>
    </row>
    <row r="452" spans="1:10" ht="37.5">
      <c r="A452" s="7"/>
      <c r="B452" s="23" t="s">
        <v>482</v>
      </c>
      <c r="C452" s="17" t="s">
        <v>483</v>
      </c>
      <c r="D452" s="20"/>
      <c r="E452" s="21">
        <f t="shared" ref="E452:F452" si="189">E453+E454</f>
        <v>0</v>
      </c>
      <c r="F452" s="21">
        <f t="shared" si="189"/>
        <v>197.5</v>
      </c>
      <c r="G452" s="22">
        <f t="shared" ref="G452" si="190">G453+G454</f>
        <v>197.5</v>
      </c>
      <c r="H452" s="21">
        <f t="shared" ref="H452" si="191">H453+H454</f>
        <v>123.75</v>
      </c>
      <c r="I452" s="21">
        <f t="shared" si="184"/>
        <v>-73.75</v>
      </c>
      <c r="J452" s="21">
        <f t="shared" si="185"/>
        <v>62.658227848101298</v>
      </c>
    </row>
    <row r="453" spans="1:10" ht="37.5">
      <c r="A453" s="7"/>
      <c r="B453" s="23" t="s">
        <v>32</v>
      </c>
      <c r="C453" s="17" t="s">
        <v>483</v>
      </c>
      <c r="D453" s="20">
        <v>200</v>
      </c>
      <c r="E453" s="21"/>
      <c r="F453" s="21">
        <v>32.5</v>
      </c>
      <c r="G453" s="22">
        <v>32.5</v>
      </c>
      <c r="H453" s="21">
        <v>0</v>
      </c>
      <c r="I453" s="21">
        <f t="shared" si="184"/>
        <v>-32.5</v>
      </c>
      <c r="J453" s="21">
        <f t="shared" si="185"/>
        <v>0</v>
      </c>
    </row>
    <row r="454" spans="1:10" ht="18.75">
      <c r="A454" s="7"/>
      <c r="B454" s="23" t="s">
        <v>378</v>
      </c>
      <c r="C454" s="17" t="s">
        <v>483</v>
      </c>
      <c r="D454" s="20">
        <v>500</v>
      </c>
      <c r="E454" s="21"/>
      <c r="F454" s="21">
        <v>165</v>
      </c>
      <c r="G454" s="22">
        <v>165</v>
      </c>
      <c r="H454" s="21">
        <v>123.75</v>
      </c>
      <c r="I454" s="21">
        <f t="shared" si="184"/>
        <v>-41.25</v>
      </c>
      <c r="J454" s="21">
        <f t="shared" si="185"/>
        <v>75</v>
      </c>
    </row>
    <row r="455" spans="1:10" ht="56.25">
      <c r="A455" s="7"/>
      <c r="B455" s="23" t="s">
        <v>484</v>
      </c>
      <c r="C455" s="17" t="s">
        <v>578</v>
      </c>
      <c r="D455" s="20"/>
      <c r="E455" s="21">
        <f t="shared" ref="E455:H455" si="192">E456</f>
        <v>0</v>
      </c>
      <c r="F455" s="21">
        <f t="shared" si="192"/>
        <v>566.29999999999995</v>
      </c>
      <c r="G455" s="22">
        <f t="shared" si="192"/>
        <v>791.59999999999991</v>
      </c>
      <c r="H455" s="21">
        <f t="shared" si="192"/>
        <v>511.93946</v>
      </c>
      <c r="I455" s="21">
        <f t="shared" si="184"/>
        <v>-279.66053999999991</v>
      </c>
      <c r="J455" s="21">
        <f t="shared" si="185"/>
        <v>64.671483072258724</v>
      </c>
    </row>
    <row r="456" spans="1:10" ht="56.25" customHeight="1">
      <c r="A456" s="7"/>
      <c r="B456" s="23" t="s">
        <v>147</v>
      </c>
      <c r="C456" s="17" t="s">
        <v>578</v>
      </c>
      <c r="D456" s="20">
        <v>100</v>
      </c>
      <c r="E456" s="21"/>
      <c r="F456" s="21">
        <v>566.29999999999995</v>
      </c>
      <c r="G456" s="22">
        <f>710.8+80.8</f>
        <v>791.59999999999991</v>
      </c>
      <c r="H456" s="21">
        <v>511.93946</v>
      </c>
      <c r="I456" s="21">
        <f t="shared" si="184"/>
        <v>-279.66053999999991</v>
      </c>
      <c r="J456" s="21">
        <f t="shared" si="185"/>
        <v>64.671483072258724</v>
      </c>
    </row>
    <row r="457" spans="1:10" ht="40.5" customHeight="1">
      <c r="A457" s="7"/>
      <c r="B457" s="23" t="s">
        <v>485</v>
      </c>
      <c r="C457" s="17" t="s">
        <v>486</v>
      </c>
      <c r="D457" s="20"/>
      <c r="E457" s="21">
        <f t="shared" ref="E457:H457" si="193">E458</f>
        <v>0</v>
      </c>
      <c r="F457" s="21">
        <f t="shared" si="193"/>
        <v>588.20000000000005</v>
      </c>
      <c r="G457" s="22">
        <f t="shared" si="193"/>
        <v>790.59999999999991</v>
      </c>
      <c r="H457" s="21">
        <f t="shared" si="193"/>
        <v>505.49034</v>
      </c>
      <c r="I457" s="21">
        <f t="shared" si="184"/>
        <v>-285.10965999999991</v>
      </c>
      <c r="J457" s="21">
        <f t="shared" si="185"/>
        <v>63.937558816089059</v>
      </c>
    </row>
    <row r="458" spans="1:10" ht="57.75" customHeight="1">
      <c r="A458" s="7"/>
      <c r="B458" s="23" t="s">
        <v>147</v>
      </c>
      <c r="C458" s="17" t="s">
        <v>486</v>
      </c>
      <c r="D458" s="20" t="s">
        <v>148</v>
      </c>
      <c r="E458" s="21"/>
      <c r="F458" s="21">
        <v>588.20000000000005</v>
      </c>
      <c r="G458" s="21">
        <f>709.8+80.8</f>
        <v>790.59999999999991</v>
      </c>
      <c r="H458" s="21">
        <v>505.49034</v>
      </c>
      <c r="I458" s="21">
        <f t="shared" si="184"/>
        <v>-285.10965999999991</v>
      </c>
      <c r="J458" s="21">
        <f t="shared" si="185"/>
        <v>63.937558816089059</v>
      </c>
    </row>
    <row r="459" spans="1:10" ht="56.25">
      <c r="A459" s="7"/>
      <c r="B459" s="23" t="s">
        <v>487</v>
      </c>
      <c r="C459" s="17" t="s">
        <v>579</v>
      </c>
      <c r="D459" s="20"/>
      <c r="E459" s="21">
        <f t="shared" ref="E459:H459" si="194">E460</f>
        <v>0</v>
      </c>
      <c r="F459" s="21">
        <f t="shared" si="194"/>
        <v>557</v>
      </c>
      <c r="G459" s="22">
        <f t="shared" si="194"/>
        <v>725.30000000000007</v>
      </c>
      <c r="H459" s="21">
        <f t="shared" si="194"/>
        <v>444.00707999999997</v>
      </c>
      <c r="I459" s="21">
        <f t="shared" si="184"/>
        <v>-281.29292000000009</v>
      </c>
      <c r="J459" s="21">
        <f t="shared" si="185"/>
        <v>61.217024679442979</v>
      </c>
    </row>
    <row r="460" spans="1:10" ht="59.25" customHeight="1">
      <c r="A460" s="7"/>
      <c r="B460" s="23" t="s">
        <v>147</v>
      </c>
      <c r="C460" s="17" t="s">
        <v>579</v>
      </c>
      <c r="D460" s="20">
        <v>100</v>
      </c>
      <c r="E460" s="21"/>
      <c r="F460" s="21">
        <v>557</v>
      </c>
      <c r="G460" s="22">
        <f>651.2+74.1</f>
        <v>725.30000000000007</v>
      </c>
      <c r="H460" s="21">
        <v>444.00707999999997</v>
      </c>
      <c r="I460" s="21">
        <f t="shared" si="184"/>
        <v>-281.29292000000009</v>
      </c>
      <c r="J460" s="21">
        <f t="shared" si="185"/>
        <v>61.217024679442979</v>
      </c>
    </row>
    <row r="461" spans="1:10" ht="60" customHeight="1">
      <c r="A461" s="7"/>
      <c r="B461" s="23" t="s">
        <v>488</v>
      </c>
      <c r="C461" s="17" t="s">
        <v>489</v>
      </c>
      <c r="D461" s="20"/>
      <c r="E461" s="21">
        <f t="shared" ref="E461:H461" si="195">E462</f>
        <v>0</v>
      </c>
      <c r="F461" s="21">
        <f t="shared" si="195"/>
        <v>0.5</v>
      </c>
      <c r="G461" s="22">
        <f t="shared" si="195"/>
        <v>0.5</v>
      </c>
      <c r="H461" s="21">
        <f t="shared" si="195"/>
        <v>0</v>
      </c>
      <c r="I461" s="21">
        <f t="shared" si="184"/>
        <v>-0.5</v>
      </c>
      <c r="J461" s="21">
        <f t="shared" si="185"/>
        <v>0</v>
      </c>
    </row>
    <row r="462" spans="1:10" ht="37.5">
      <c r="A462" s="7"/>
      <c r="B462" s="23" t="s">
        <v>32</v>
      </c>
      <c r="C462" s="17" t="s">
        <v>489</v>
      </c>
      <c r="D462" s="20">
        <v>200</v>
      </c>
      <c r="E462" s="21"/>
      <c r="F462" s="21">
        <v>0.5</v>
      </c>
      <c r="G462" s="22">
        <v>0.5</v>
      </c>
      <c r="H462" s="21">
        <v>0</v>
      </c>
      <c r="I462" s="21">
        <f t="shared" si="184"/>
        <v>-0.5</v>
      </c>
      <c r="J462" s="21">
        <f t="shared" si="185"/>
        <v>0</v>
      </c>
    </row>
    <row r="463" spans="1:10" ht="37.5">
      <c r="A463" s="7"/>
      <c r="B463" s="23" t="s">
        <v>490</v>
      </c>
      <c r="C463" s="17" t="s">
        <v>491</v>
      </c>
      <c r="D463" s="20"/>
      <c r="E463" s="21"/>
      <c r="F463" s="21">
        <f>F465</f>
        <v>142.6</v>
      </c>
      <c r="G463" s="22">
        <f>G465+G464</f>
        <v>1617.4</v>
      </c>
      <c r="H463" s="21">
        <f>H465+H464</f>
        <v>1075.4080200000001</v>
      </c>
      <c r="I463" s="21">
        <f t="shared" si="184"/>
        <v>-541.99198000000001</v>
      </c>
      <c r="J463" s="21">
        <f t="shared" si="185"/>
        <v>66.489923333745494</v>
      </c>
    </row>
    <row r="464" spans="1:10" ht="39" customHeight="1">
      <c r="A464" s="7"/>
      <c r="B464" s="23" t="s">
        <v>32</v>
      </c>
      <c r="C464" s="17" t="s">
        <v>491</v>
      </c>
      <c r="D464" s="20">
        <v>200</v>
      </c>
      <c r="E464" s="21"/>
      <c r="F464" s="21"/>
      <c r="G464" s="22">
        <v>1617.4</v>
      </c>
      <c r="H464" s="21">
        <v>1075.4080200000001</v>
      </c>
      <c r="I464" s="21">
        <f t="shared" si="184"/>
        <v>-541.99198000000001</v>
      </c>
      <c r="J464" s="21">
        <f t="shared" si="185"/>
        <v>66.489923333745494</v>
      </c>
    </row>
    <row r="465" spans="1:10" ht="18.75" hidden="1">
      <c r="A465" s="7"/>
      <c r="B465" s="23" t="s">
        <v>378</v>
      </c>
      <c r="C465" s="17" t="s">
        <v>491</v>
      </c>
      <c r="D465" s="20">
        <v>500</v>
      </c>
      <c r="E465" s="21"/>
      <c r="F465" s="21">
        <v>142.6</v>
      </c>
      <c r="G465" s="22"/>
      <c r="H465" s="21"/>
      <c r="I465" s="21">
        <f t="shared" si="184"/>
        <v>0</v>
      </c>
      <c r="J465" s="21" t="e">
        <f t="shared" si="185"/>
        <v>#DIV/0!</v>
      </c>
    </row>
    <row r="466" spans="1:10" ht="78" customHeight="1">
      <c r="A466" s="7"/>
      <c r="B466" s="23" t="s">
        <v>492</v>
      </c>
      <c r="C466" s="17" t="s">
        <v>493</v>
      </c>
      <c r="D466" s="20"/>
      <c r="E466" s="21"/>
      <c r="F466" s="21"/>
      <c r="G466" s="22">
        <f>G467</f>
        <v>1110.5999999999999</v>
      </c>
      <c r="H466" s="21"/>
      <c r="I466" s="21"/>
      <c r="J466" s="21"/>
    </row>
    <row r="467" spans="1:10" ht="18.75">
      <c r="A467" s="7"/>
      <c r="B467" s="23" t="s">
        <v>278</v>
      </c>
      <c r="C467" s="17" t="s">
        <v>493</v>
      </c>
      <c r="D467" s="20">
        <v>500</v>
      </c>
      <c r="E467" s="21"/>
      <c r="F467" s="21"/>
      <c r="G467" s="22">
        <v>1110.5999999999999</v>
      </c>
      <c r="H467" s="21"/>
      <c r="I467" s="21"/>
      <c r="J467" s="21"/>
    </row>
    <row r="468" spans="1:10" ht="56.25">
      <c r="A468" s="7"/>
      <c r="B468" s="23" t="s">
        <v>494</v>
      </c>
      <c r="C468" s="17" t="s">
        <v>495</v>
      </c>
      <c r="D468" s="20"/>
      <c r="E468" s="21"/>
      <c r="F468" s="21"/>
      <c r="G468" s="22">
        <f>G469</f>
        <v>10.1</v>
      </c>
      <c r="H468" s="21">
        <f>H469</f>
        <v>659</v>
      </c>
      <c r="I468" s="21">
        <f t="shared" si="184"/>
        <v>648.9</v>
      </c>
      <c r="J468" s="21">
        <f t="shared" si="185"/>
        <v>6524.7524752475201</v>
      </c>
    </row>
    <row r="469" spans="1:10" ht="18.75">
      <c r="A469" s="7"/>
      <c r="B469" s="23" t="s">
        <v>278</v>
      </c>
      <c r="C469" s="17" t="s">
        <v>495</v>
      </c>
      <c r="D469" s="20">
        <v>500</v>
      </c>
      <c r="E469" s="21"/>
      <c r="F469" s="21"/>
      <c r="G469" s="22">
        <v>10.1</v>
      </c>
      <c r="H469" s="21">
        <v>659</v>
      </c>
      <c r="I469" s="21">
        <f t="shared" si="184"/>
        <v>648.9</v>
      </c>
      <c r="J469" s="21">
        <f t="shared" si="185"/>
        <v>6524.7524752475201</v>
      </c>
    </row>
    <row r="470" spans="1:10" ht="37.5" hidden="1">
      <c r="A470" s="7"/>
      <c r="B470" s="23" t="s">
        <v>376</v>
      </c>
      <c r="C470" s="17" t="s">
        <v>496</v>
      </c>
      <c r="D470" s="20"/>
      <c r="E470" s="21">
        <f t="shared" ref="E470:H470" si="196">E471</f>
        <v>0</v>
      </c>
      <c r="F470" s="21">
        <f t="shared" si="196"/>
        <v>35459.5</v>
      </c>
      <c r="G470" s="22">
        <f t="shared" si="196"/>
        <v>0</v>
      </c>
      <c r="H470" s="21">
        <f t="shared" si="196"/>
        <v>0</v>
      </c>
      <c r="I470" s="21">
        <f t="shared" si="184"/>
        <v>0</v>
      </c>
      <c r="J470" s="21" t="e">
        <f t="shared" si="185"/>
        <v>#DIV/0!</v>
      </c>
    </row>
    <row r="471" spans="1:10" ht="18.75" hidden="1">
      <c r="A471" s="7"/>
      <c r="B471" s="23" t="s">
        <v>378</v>
      </c>
      <c r="C471" s="17" t="s">
        <v>496</v>
      </c>
      <c r="D471" s="20">
        <v>500</v>
      </c>
      <c r="E471" s="21">
        <v>0</v>
      </c>
      <c r="F471" s="21">
        <v>35459.5</v>
      </c>
      <c r="G471" s="22"/>
      <c r="H471" s="21"/>
      <c r="I471" s="21">
        <f t="shared" si="184"/>
        <v>0</v>
      </c>
      <c r="J471" s="21" t="e">
        <f t="shared" si="185"/>
        <v>#DIV/0!</v>
      </c>
    </row>
    <row r="472" spans="1:10" ht="75" hidden="1">
      <c r="A472" s="7"/>
      <c r="B472" s="34" t="s">
        <v>497</v>
      </c>
      <c r="C472" s="17" t="s">
        <v>498</v>
      </c>
      <c r="D472" s="20"/>
      <c r="E472" s="21"/>
      <c r="F472" s="21"/>
      <c r="G472" s="22">
        <f>G474+G473</f>
        <v>0</v>
      </c>
      <c r="H472" s="21">
        <f>H474+H473</f>
        <v>0</v>
      </c>
      <c r="I472" s="21">
        <f t="shared" si="184"/>
        <v>0</v>
      </c>
      <c r="J472" s="21" t="e">
        <f t="shared" si="185"/>
        <v>#DIV/0!</v>
      </c>
    </row>
    <row r="473" spans="1:10" ht="37.5" hidden="1">
      <c r="A473" s="7"/>
      <c r="B473" s="23" t="s">
        <v>32</v>
      </c>
      <c r="C473" s="17" t="s">
        <v>498</v>
      </c>
      <c r="D473" s="20">
        <v>200</v>
      </c>
      <c r="E473" s="21"/>
      <c r="F473" s="21"/>
      <c r="G473" s="22"/>
      <c r="H473" s="21"/>
      <c r="I473" s="21">
        <f t="shared" si="184"/>
        <v>0</v>
      </c>
      <c r="J473" s="21" t="e">
        <f t="shared" si="185"/>
        <v>#DIV/0!</v>
      </c>
    </row>
    <row r="474" spans="1:10" ht="18.75" hidden="1">
      <c r="A474" s="7"/>
      <c r="B474" s="23" t="s">
        <v>378</v>
      </c>
      <c r="C474" s="17" t="s">
        <v>498</v>
      </c>
      <c r="D474" s="20">
        <v>500</v>
      </c>
      <c r="E474" s="21"/>
      <c r="F474" s="21"/>
      <c r="G474" s="22"/>
      <c r="H474" s="21"/>
      <c r="I474" s="21">
        <f t="shared" si="184"/>
        <v>0</v>
      </c>
      <c r="J474" s="21" t="e">
        <f t="shared" si="185"/>
        <v>#DIV/0!</v>
      </c>
    </row>
    <row r="475" spans="1:10" ht="37.5" hidden="1">
      <c r="A475" s="7"/>
      <c r="B475" s="5" t="s">
        <v>499</v>
      </c>
      <c r="C475" s="17" t="s">
        <v>500</v>
      </c>
      <c r="D475" s="20"/>
      <c r="E475" s="21">
        <f>E476</f>
        <v>0</v>
      </c>
      <c r="F475" s="21">
        <f t="shared" ref="F475:H475" si="197">F476</f>
        <v>4040.4040399999999</v>
      </c>
      <c r="G475" s="22">
        <f t="shared" si="197"/>
        <v>0</v>
      </c>
      <c r="H475" s="21">
        <f t="shared" si="197"/>
        <v>4040.4040399999999</v>
      </c>
      <c r="I475" s="21">
        <f t="shared" si="184"/>
        <v>4040.4040399999999</v>
      </c>
      <c r="J475" s="21" t="e">
        <f t="shared" si="185"/>
        <v>#DIV/0!</v>
      </c>
    </row>
    <row r="476" spans="1:10" ht="24" hidden="1" customHeight="1">
      <c r="A476" s="7"/>
      <c r="B476" s="23" t="s">
        <v>501</v>
      </c>
      <c r="C476" s="17" t="s">
        <v>502</v>
      </c>
      <c r="D476" s="20"/>
      <c r="E476" s="21">
        <f t="shared" ref="E476:H476" si="198">E477</f>
        <v>0</v>
      </c>
      <c r="F476" s="21">
        <f t="shared" si="198"/>
        <v>4040.4040399999999</v>
      </c>
      <c r="G476" s="22">
        <f t="shared" si="198"/>
        <v>0</v>
      </c>
      <c r="H476" s="21">
        <f t="shared" si="198"/>
        <v>4040.4040399999999</v>
      </c>
      <c r="I476" s="21">
        <f t="shared" si="184"/>
        <v>4040.4040399999999</v>
      </c>
      <c r="J476" s="21" t="e">
        <f t="shared" si="185"/>
        <v>#DIV/0!</v>
      </c>
    </row>
    <row r="477" spans="1:10" ht="19.5" hidden="1" customHeight="1">
      <c r="A477" s="7"/>
      <c r="B477" s="23" t="s">
        <v>278</v>
      </c>
      <c r="C477" s="17" t="s">
        <v>502</v>
      </c>
      <c r="D477" s="20">
        <v>500</v>
      </c>
      <c r="E477" s="21"/>
      <c r="F477" s="21">
        <v>4040.4040399999999</v>
      </c>
      <c r="G477" s="22">
        <v>0</v>
      </c>
      <c r="H477" s="21">
        <v>4040.4040399999999</v>
      </c>
      <c r="I477" s="21">
        <f t="shared" si="184"/>
        <v>4040.4040399999999</v>
      </c>
      <c r="J477" s="21" t="e">
        <f t="shared" si="185"/>
        <v>#DIV/0!</v>
      </c>
    </row>
    <row r="478" spans="1:10" ht="19.5" customHeight="1">
      <c r="A478" s="7"/>
      <c r="B478" s="23" t="s">
        <v>503</v>
      </c>
      <c r="C478" s="17" t="s">
        <v>504</v>
      </c>
      <c r="D478" s="20"/>
      <c r="E478" s="21"/>
      <c r="F478" s="21"/>
      <c r="G478" s="22">
        <f>G479</f>
        <v>30917.919999999998</v>
      </c>
      <c r="H478" s="21"/>
      <c r="I478" s="21"/>
      <c r="J478" s="21"/>
    </row>
    <row r="479" spans="1:10" ht="39" customHeight="1">
      <c r="A479" s="7"/>
      <c r="B479" s="23" t="s">
        <v>505</v>
      </c>
      <c r="C479" s="17" t="s">
        <v>506</v>
      </c>
      <c r="D479" s="20"/>
      <c r="E479" s="21"/>
      <c r="F479" s="21"/>
      <c r="G479" s="22">
        <f>G480</f>
        <v>30917.919999999998</v>
      </c>
      <c r="H479" s="21"/>
      <c r="I479" s="21"/>
      <c r="J479" s="21"/>
    </row>
    <row r="480" spans="1:10" ht="19.5" customHeight="1">
      <c r="A480" s="7"/>
      <c r="B480" s="23" t="s">
        <v>278</v>
      </c>
      <c r="C480" s="17" t="s">
        <v>506</v>
      </c>
      <c r="D480" s="20">
        <v>500</v>
      </c>
      <c r="E480" s="21"/>
      <c r="F480" s="21"/>
      <c r="G480" s="22">
        <v>30917.919999999998</v>
      </c>
      <c r="H480" s="21"/>
      <c r="I480" s="21"/>
      <c r="J480" s="21"/>
    </row>
    <row r="481" spans="1:10" ht="23.25" customHeight="1">
      <c r="A481" s="7"/>
      <c r="B481" s="23" t="s">
        <v>507</v>
      </c>
      <c r="C481" s="17" t="s">
        <v>508</v>
      </c>
      <c r="D481" s="20" t="s">
        <v>15</v>
      </c>
      <c r="E481" s="21">
        <f t="shared" ref="E481:H482" si="199">E482</f>
        <v>1516.6</v>
      </c>
      <c r="F481" s="21"/>
      <c r="G481" s="22">
        <f>G482</f>
        <v>1939.1043299999999</v>
      </c>
      <c r="H481" s="21">
        <f>H482</f>
        <v>1056.93073</v>
      </c>
      <c r="I481" s="21">
        <f t="shared" si="184"/>
        <v>-882.17359999999996</v>
      </c>
      <c r="J481" s="21">
        <f t="shared" si="185"/>
        <v>54.506130157524801</v>
      </c>
    </row>
    <row r="482" spans="1:10" ht="18.75">
      <c r="A482" s="7"/>
      <c r="B482" s="23" t="s">
        <v>509</v>
      </c>
      <c r="C482" s="17" t="s">
        <v>510</v>
      </c>
      <c r="D482" s="20" t="s">
        <v>15</v>
      </c>
      <c r="E482" s="21">
        <f t="shared" si="199"/>
        <v>1516.6</v>
      </c>
      <c r="F482" s="21"/>
      <c r="G482" s="22">
        <f t="shared" si="199"/>
        <v>1939.1043299999999</v>
      </c>
      <c r="H482" s="21">
        <f t="shared" si="199"/>
        <v>1056.93073</v>
      </c>
      <c r="I482" s="21">
        <f t="shared" si="184"/>
        <v>-882.17359999999996</v>
      </c>
      <c r="J482" s="21">
        <f t="shared" si="185"/>
        <v>54.506130157524801</v>
      </c>
    </row>
    <row r="483" spans="1:10" ht="56.25" customHeight="1">
      <c r="A483" s="7"/>
      <c r="B483" s="23" t="s">
        <v>147</v>
      </c>
      <c r="C483" s="17" t="s">
        <v>510</v>
      </c>
      <c r="D483" s="20" t="s">
        <v>148</v>
      </c>
      <c r="E483" s="21">
        <v>1516.6</v>
      </c>
      <c r="F483" s="21"/>
      <c r="G483" s="22">
        <v>1939.1043299999999</v>
      </c>
      <c r="H483" s="21">
        <v>1056.93073</v>
      </c>
      <c r="I483" s="21">
        <f t="shared" si="184"/>
        <v>-882.17359999999996</v>
      </c>
      <c r="J483" s="21">
        <f t="shared" si="185"/>
        <v>54.506130157524801</v>
      </c>
    </row>
    <row r="484" spans="1:10" ht="37.5">
      <c r="A484" s="7"/>
      <c r="B484" s="23" t="s">
        <v>511</v>
      </c>
      <c r="C484" s="17" t="s">
        <v>512</v>
      </c>
      <c r="D484" s="20" t="s">
        <v>15</v>
      </c>
      <c r="E484" s="21">
        <f>E485+E487</f>
        <v>3692.6</v>
      </c>
      <c r="F484" s="21">
        <f>F485+F487</f>
        <v>0</v>
      </c>
      <c r="G484" s="22">
        <f>G485+G487</f>
        <v>4779.5709700000007</v>
      </c>
      <c r="H484" s="21">
        <f>H485+H487</f>
        <v>2981.2687799999999</v>
      </c>
      <c r="I484" s="21">
        <f t="shared" si="184"/>
        <v>-1798.3021900000008</v>
      </c>
      <c r="J484" s="21">
        <f t="shared" si="185"/>
        <v>62.375238252817475</v>
      </c>
    </row>
    <row r="485" spans="1:10" ht="26.25" customHeight="1">
      <c r="A485" s="7"/>
      <c r="B485" s="23" t="s">
        <v>513</v>
      </c>
      <c r="C485" s="17" t="s">
        <v>514</v>
      </c>
      <c r="D485" s="20" t="s">
        <v>15</v>
      </c>
      <c r="E485" s="21">
        <f>E486</f>
        <v>1408.2</v>
      </c>
      <c r="F485" s="21">
        <f>F486</f>
        <v>0</v>
      </c>
      <c r="G485" s="22">
        <f>G486</f>
        <v>1805.0205000000001</v>
      </c>
      <c r="H485" s="21">
        <f>H486</f>
        <v>1096.24764</v>
      </c>
      <c r="I485" s="21">
        <f t="shared" si="184"/>
        <v>-708.77286000000004</v>
      </c>
      <c r="J485" s="21">
        <f t="shared" si="185"/>
        <v>60.733251506007797</v>
      </c>
    </row>
    <row r="486" spans="1:10" ht="56.25" customHeight="1">
      <c r="A486" s="7"/>
      <c r="B486" s="23" t="s">
        <v>147</v>
      </c>
      <c r="C486" s="17" t="s">
        <v>514</v>
      </c>
      <c r="D486" s="20" t="s">
        <v>148</v>
      </c>
      <c r="E486" s="21">
        <v>1408.2</v>
      </c>
      <c r="F486" s="21"/>
      <c r="G486" s="22">
        <v>1805.0205000000001</v>
      </c>
      <c r="H486" s="21">
        <v>1096.24764</v>
      </c>
      <c r="I486" s="21">
        <f t="shared" si="184"/>
        <v>-708.77286000000004</v>
      </c>
      <c r="J486" s="21">
        <f t="shared" si="185"/>
        <v>60.733251506007797</v>
      </c>
    </row>
    <row r="487" spans="1:10" ht="18.75">
      <c r="A487" s="7"/>
      <c r="B487" s="23" t="s">
        <v>515</v>
      </c>
      <c r="C487" s="17" t="s">
        <v>516</v>
      </c>
      <c r="D487" s="20" t="s">
        <v>15</v>
      </c>
      <c r="E487" s="21">
        <f t="shared" ref="E487:F487" si="200">E488+E489+E490</f>
        <v>2284.4</v>
      </c>
      <c r="F487" s="21">
        <f t="shared" si="200"/>
        <v>0</v>
      </c>
      <c r="G487" s="22">
        <f t="shared" ref="G487" si="201">G488+G489+G490</f>
        <v>2974.5504700000001</v>
      </c>
      <c r="H487" s="21">
        <f t="shared" ref="H487" si="202">H488+H489+H490</f>
        <v>1885.0211400000001</v>
      </c>
      <c r="I487" s="21">
        <f t="shared" si="184"/>
        <v>-1089.5293300000001</v>
      </c>
      <c r="J487" s="21">
        <f t="shared" si="185"/>
        <v>63.371630739215526</v>
      </c>
    </row>
    <row r="488" spans="1:10" ht="56.25" customHeight="1">
      <c r="A488" s="7"/>
      <c r="B488" s="23" t="s">
        <v>147</v>
      </c>
      <c r="C488" s="17" t="s">
        <v>516</v>
      </c>
      <c r="D488" s="20" t="s">
        <v>148</v>
      </c>
      <c r="E488" s="21">
        <v>2006.9</v>
      </c>
      <c r="F488" s="21"/>
      <c r="G488" s="22">
        <f>2603.41925-153.76878</f>
        <v>2449.65047</v>
      </c>
      <c r="H488" s="21">
        <v>1535.7756899999999</v>
      </c>
      <c r="I488" s="21">
        <f t="shared" si="184"/>
        <v>-913.8747800000001</v>
      </c>
      <c r="J488" s="21">
        <f t="shared" si="185"/>
        <v>62.693666251904091</v>
      </c>
    </row>
    <row r="489" spans="1:10" ht="37.5">
      <c r="A489" s="7"/>
      <c r="B489" s="23" t="s">
        <v>32</v>
      </c>
      <c r="C489" s="17" t="s">
        <v>516</v>
      </c>
      <c r="D489" s="20" t="s">
        <v>149</v>
      </c>
      <c r="E489" s="21">
        <v>273.8</v>
      </c>
      <c r="F489" s="21"/>
      <c r="G489" s="22">
        <v>521.53300000000002</v>
      </c>
      <c r="H489" s="21">
        <v>347.25445000000002</v>
      </c>
      <c r="I489" s="21">
        <f t="shared" si="184"/>
        <v>-174.27855</v>
      </c>
      <c r="J489" s="21">
        <f t="shared" si="185"/>
        <v>66.583408911804199</v>
      </c>
    </row>
    <row r="490" spans="1:10" ht="18.75">
      <c r="A490" s="13"/>
      <c r="B490" s="23" t="s">
        <v>121</v>
      </c>
      <c r="C490" s="17" t="s">
        <v>516</v>
      </c>
      <c r="D490" s="20" t="s">
        <v>150</v>
      </c>
      <c r="E490" s="21">
        <v>3.7</v>
      </c>
      <c r="F490" s="21"/>
      <c r="G490" s="22">
        <v>3.367</v>
      </c>
      <c r="H490" s="21">
        <v>1.9910000000000001</v>
      </c>
      <c r="I490" s="21">
        <f t="shared" si="184"/>
        <v>-1.3759999999999999</v>
      </c>
      <c r="J490" s="21">
        <f t="shared" si="185"/>
        <v>59.132759132759098</v>
      </c>
    </row>
    <row r="491" spans="1:10" ht="25.5" customHeight="1">
      <c r="A491" s="23"/>
      <c r="B491" s="23" t="s">
        <v>517</v>
      </c>
      <c r="C491" s="17" t="s">
        <v>518</v>
      </c>
      <c r="D491" s="20" t="s">
        <v>15</v>
      </c>
      <c r="E491" s="21">
        <f t="shared" ref="E491:F491" si="203">E492+E494+E498</f>
        <v>1677.9</v>
      </c>
      <c r="F491" s="21">
        <f t="shared" si="203"/>
        <v>601.29999999999995</v>
      </c>
      <c r="G491" s="22">
        <f t="shared" ref="G491" si="204">G492+G494+G498</f>
        <v>3438.8100899999999</v>
      </c>
      <c r="H491" s="21">
        <f t="shared" ref="H491" si="205">H492+H494+H498</f>
        <v>3145.8881099999999</v>
      </c>
      <c r="I491" s="21">
        <f t="shared" si="184"/>
        <v>-292.92198000000008</v>
      </c>
      <c r="J491" s="21">
        <f t="shared" si="185"/>
        <v>91.481879710315724</v>
      </c>
    </row>
    <row r="492" spans="1:10" ht="25.5" customHeight="1">
      <c r="A492" s="23"/>
      <c r="B492" s="23" t="s">
        <v>519</v>
      </c>
      <c r="C492" s="17" t="s">
        <v>520</v>
      </c>
      <c r="D492" s="20" t="s">
        <v>15</v>
      </c>
      <c r="E492" s="21">
        <f t="shared" ref="E492:H492" si="206">E493</f>
        <v>1049.9000000000001</v>
      </c>
      <c r="F492" s="21">
        <f t="shared" si="206"/>
        <v>0</v>
      </c>
      <c r="G492" s="22">
        <f t="shared" si="206"/>
        <v>1540.5220099999999</v>
      </c>
      <c r="H492" s="21">
        <f t="shared" si="206"/>
        <v>2150.1762100000001</v>
      </c>
      <c r="I492" s="21">
        <f t="shared" si="184"/>
        <v>609.65420000000017</v>
      </c>
      <c r="J492" s="21">
        <f t="shared" si="185"/>
        <v>139.57452058734302</v>
      </c>
    </row>
    <row r="493" spans="1:10" ht="59.25" customHeight="1">
      <c r="A493" s="23"/>
      <c r="B493" s="23" t="s">
        <v>147</v>
      </c>
      <c r="C493" s="17" t="s">
        <v>520</v>
      </c>
      <c r="D493" s="20" t="s">
        <v>148</v>
      </c>
      <c r="E493" s="21">
        <v>1049.9000000000001</v>
      </c>
      <c r="F493" s="21"/>
      <c r="G493" s="22">
        <f>1593.52201-53</f>
        <v>1540.5220099999999</v>
      </c>
      <c r="H493" s="21">
        <v>2150.1762100000001</v>
      </c>
      <c r="I493" s="21">
        <f t="shared" si="184"/>
        <v>609.65420000000017</v>
      </c>
      <c r="J493" s="21">
        <f t="shared" si="185"/>
        <v>139.57452058734302</v>
      </c>
    </row>
    <row r="494" spans="1:10" ht="18.75">
      <c r="A494" s="23"/>
      <c r="B494" s="23" t="s">
        <v>289</v>
      </c>
      <c r="C494" s="17" t="s">
        <v>521</v>
      </c>
      <c r="D494" s="20" t="s">
        <v>15</v>
      </c>
      <c r="E494" s="21">
        <f t="shared" ref="E494:F494" si="207">E495+E496+E497</f>
        <v>628</v>
      </c>
      <c r="F494" s="21">
        <f t="shared" si="207"/>
        <v>0</v>
      </c>
      <c r="G494" s="22">
        <f t="shared" ref="G494" si="208">G495+G496+G497</f>
        <v>1102.90904</v>
      </c>
      <c r="H494" s="21">
        <f t="shared" ref="H494" si="209">H495+H496+H497</f>
        <v>527.19515000000001</v>
      </c>
      <c r="I494" s="21">
        <f t="shared" si="184"/>
        <v>-575.71388999999999</v>
      </c>
      <c r="J494" s="21">
        <f t="shared" si="185"/>
        <v>47.800419697348801</v>
      </c>
    </row>
    <row r="495" spans="1:10" ht="61.5" customHeight="1">
      <c r="A495" s="23"/>
      <c r="B495" s="23" t="s">
        <v>147</v>
      </c>
      <c r="C495" s="17" t="s">
        <v>521</v>
      </c>
      <c r="D495" s="20" t="s">
        <v>148</v>
      </c>
      <c r="E495" s="21">
        <v>590.70000000000005</v>
      </c>
      <c r="F495" s="21"/>
      <c r="G495" s="22">
        <v>783.20903999999996</v>
      </c>
      <c r="H495" s="21">
        <v>485.34258999999997</v>
      </c>
      <c r="I495" s="21">
        <f t="shared" si="184"/>
        <v>-297.86644999999999</v>
      </c>
      <c r="J495" s="21">
        <f t="shared" si="185"/>
        <v>61.968461191408103</v>
      </c>
    </row>
    <row r="496" spans="1:10" ht="36" customHeight="1">
      <c r="A496" s="23"/>
      <c r="B496" s="23" t="s">
        <v>32</v>
      </c>
      <c r="C496" s="17" t="s">
        <v>521</v>
      </c>
      <c r="D496" s="20" t="s">
        <v>149</v>
      </c>
      <c r="E496" s="21">
        <v>37.1</v>
      </c>
      <c r="F496" s="21"/>
      <c r="G496" s="22">
        <v>319.7</v>
      </c>
      <c r="H496" s="21">
        <v>41.852559999999997</v>
      </c>
      <c r="I496" s="21">
        <f t="shared" si="184"/>
        <v>-277.84744000000001</v>
      </c>
      <c r="J496" s="21">
        <f t="shared" si="185"/>
        <v>13.091197998123199</v>
      </c>
    </row>
    <row r="497" spans="1:10" ht="18.75" hidden="1">
      <c r="A497" s="23"/>
      <c r="B497" s="23" t="s">
        <v>121</v>
      </c>
      <c r="C497" s="17" t="s">
        <v>521</v>
      </c>
      <c r="D497" s="20">
        <v>800</v>
      </c>
      <c r="E497" s="21">
        <v>0.2</v>
      </c>
      <c r="F497" s="21"/>
      <c r="G497" s="22">
        <v>0</v>
      </c>
      <c r="H497" s="21">
        <v>0</v>
      </c>
      <c r="I497" s="21">
        <f t="shared" si="184"/>
        <v>0</v>
      </c>
      <c r="J497" s="21" t="e">
        <f t="shared" si="185"/>
        <v>#DIV/0!</v>
      </c>
    </row>
    <row r="498" spans="1:10" ht="37.5">
      <c r="A498" s="23"/>
      <c r="B498" s="23" t="s">
        <v>522</v>
      </c>
      <c r="C498" s="17" t="s">
        <v>523</v>
      </c>
      <c r="D498" s="20" t="s">
        <v>15</v>
      </c>
      <c r="E498" s="21">
        <f t="shared" ref="E498:F498" si="210">E499+E500</f>
        <v>0</v>
      </c>
      <c r="F498" s="21">
        <f t="shared" si="210"/>
        <v>601.29999999999995</v>
      </c>
      <c r="G498" s="22">
        <f t="shared" ref="G498" si="211">G499+G500</f>
        <v>795.37904000000003</v>
      </c>
      <c r="H498" s="21">
        <f t="shared" ref="H498" si="212">H499+H500</f>
        <v>468.51675</v>
      </c>
      <c r="I498" s="21">
        <f t="shared" si="184"/>
        <v>-326.86228999999997</v>
      </c>
      <c r="J498" s="21">
        <f t="shared" si="185"/>
        <v>58.904839886150398</v>
      </c>
    </row>
    <row r="499" spans="1:10" ht="60.75" customHeight="1">
      <c r="A499" s="23"/>
      <c r="B499" s="23" t="s">
        <v>147</v>
      </c>
      <c r="C499" s="17" t="s">
        <v>523</v>
      </c>
      <c r="D499" s="20" t="s">
        <v>148</v>
      </c>
      <c r="E499" s="21"/>
      <c r="F499" s="21">
        <v>590.70000000000005</v>
      </c>
      <c r="G499" s="22">
        <v>783.20903999999996</v>
      </c>
      <c r="H499" s="21">
        <v>464.01675</v>
      </c>
      <c r="I499" s="21">
        <f t="shared" si="184"/>
        <v>-319.19229000000001</v>
      </c>
      <c r="J499" s="21">
        <f t="shared" si="185"/>
        <v>59.2455814861381</v>
      </c>
    </row>
    <row r="500" spans="1:10" ht="37.5">
      <c r="A500" s="23"/>
      <c r="B500" s="23" t="s">
        <v>32</v>
      </c>
      <c r="C500" s="17" t="s">
        <v>523</v>
      </c>
      <c r="D500" s="20" t="s">
        <v>149</v>
      </c>
      <c r="E500" s="21"/>
      <c r="F500" s="21">
        <v>10.6</v>
      </c>
      <c r="G500" s="22">
        <v>12.17</v>
      </c>
      <c r="H500" s="21">
        <v>4.5</v>
      </c>
      <c r="I500" s="21">
        <f t="shared" si="184"/>
        <v>-7.67</v>
      </c>
      <c r="J500" s="21">
        <f t="shared" si="185"/>
        <v>36.976170912078899</v>
      </c>
    </row>
    <row r="501" spans="1:10" ht="19.5" hidden="1" customHeight="1">
      <c r="A501" s="23"/>
      <c r="B501" s="23" t="s">
        <v>524</v>
      </c>
      <c r="C501" s="17" t="s">
        <v>525</v>
      </c>
      <c r="D501" s="20"/>
      <c r="E501" s="21" t="e">
        <f>#REF!+E506</f>
        <v>#REF!</v>
      </c>
      <c r="F501" s="21"/>
      <c r="G501" s="22">
        <f>G506+G502+G504</f>
        <v>0</v>
      </c>
      <c r="H501" s="21">
        <f>H506+H502</f>
        <v>0</v>
      </c>
      <c r="I501" s="21">
        <f t="shared" si="184"/>
        <v>0</v>
      </c>
      <c r="J501" s="21" t="e">
        <f t="shared" si="185"/>
        <v>#DIV/0!</v>
      </c>
    </row>
    <row r="502" spans="1:10" ht="21.75" hidden="1" customHeight="1">
      <c r="A502" s="23"/>
      <c r="B502" s="23" t="s">
        <v>526</v>
      </c>
      <c r="C502" s="17" t="s">
        <v>527</v>
      </c>
      <c r="D502" s="20"/>
      <c r="E502" s="21"/>
      <c r="F502" s="21"/>
      <c r="G502" s="22">
        <f>G503</f>
        <v>0</v>
      </c>
      <c r="H502" s="21">
        <f>H503</f>
        <v>0</v>
      </c>
      <c r="I502" s="21">
        <f t="shared" si="184"/>
        <v>0</v>
      </c>
      <c r="J502" s="21" t="e">
        <f t="shared" si="185"/>
        <v>#DIV/0!</v>
      </c>
    </row>
    <row r="503" spans="1:10" ht="37.5" hidden="1">
      <c r="A503" s="23"/>
      <c r="B503" s="23" t="s">
        <v>32</v>
      </c>
      <c r="C503" s="17" t="s">
        <v>527</v>
      </c>
      <c r="D503" s="20" t="s">
        <v>149</v>
      </c>
      <c r="E503" s="21"/>
      <c r="F503" s="21"/>
      <c r="G503" s="22"/>
      <c r="H503" s="21"/>
      <c r="I503" s="21">
        <f t="shared" si="184"/>
        <v>0</v>
      </c>
      <c r="J503" s="21" t="e">
        <f t="shared" si="185"/>
        <v>#DIV/0!</v>
      </c>
    </row>
    <row r="504" spans="1:10" ht="37.5" hidden="1">
      <c r="A504" s="23"/>
      <c r="B504" s="23" t="s">
        <v>528</v>
      </c>
      <c r="C504" s="17" t="s">
        <v>529</v>
      </c>
      <c r="D504" s="20"/>
      <c r="E504" s="21"/>
      <c r="F504" s="21"/>
      <c r="G504" s="22">
        <f>G505</f>
        <v>0</v>
      </c>
      <c r="H504" s="21"/>
      <c r="I504" s="21"/>
      <c r="J504" s="21"/>
    </row>
    <row r="505" spans="1:10" ht="37.5" hidden="1">
      <c r="A505" s="23"/>
      <c r="B505" s="23" t="s">
        <v>32</v>
      </c>
      <c r="C505" s="17" t="s">
        <v>529</v>
      </c>
      <c r="D505" s="20">
        <v>200</v>
      </c>
      <c r="E505" s="21"/>
      <c r="F505" s="21"/>
      <c r="G505" s="22">
        <v>0</v>
      </c>
      <c r="H505" s="21"/>
      <c r="I505" s="21">
        <f t="shared" si="184"/>
        <v>0</v>
      </c>
      <c r="J505" s="21" t="e">
        <f t="shared" si="185"/>
        <v>#DIV/0!</v>
      </c>
    </row>
    <row r="506" spans="1:10" ht="40.5" hidden="1" customHeight="1">
      <c r="A506" s="23"/>
      <c r="B506" s="23" t="s">
        <v>530</v>
      </c>
      <c r="C506" s="17" t="s">
        <v>531</v>
      </c>
      <c r="D506" s="20"/>
      <c r="E506" s="21">
        <f t="shared" ref="E506:H506" si="213">E507</f>
        <v>10</v>
      </c>
      <c r="F506" s="21"/>
      <c r="G506" s="22">
        <f t="shared" si="213"/>
        <v>0</v>
      </c>
      <c r="H506" s="21">
        <f t="shared" si="213"/>
        <v>0</v>
      </c>
      <c r="I506" s="21">
        <f t="shared" si="184"/>
        <v>0</v>
      </c>
      <c r="J506" s="21" t="e">
        <f t="shared" si="185"/>
        <v>#DIV/0!</v>
      </c>
    </row>
    <row r="507" spans="1:10" ht="37.5" hidden="1">
      <c r="A507" s="23"/>
      <c r="B507" s="23" t="s">
        <v>32</v>
      </c>
      <c r="C507" s="17" t="s">
        <v>531</v>
      </c>
      <c r="D507" s="20" t="s">
        <v>149</v>
      </c>
      <c r="E507" s="21">
        <v>10</v>
      </c>
      <c r="F507" s="21"/>
      <c r="G507" s="22">
        <v>0</v>
      </c>
      <c r="H507" s="21">
        <v>0</v>
      </c>
      <c r="I507" s="21">
        <f t="shared" si="184"/>
        <v>0</v>
      </c>
      <c r="J507" s="21" t="e">
        <f t="shared" si="185"/>
        <v>#DIV/0!</v>
      </c>
    </row>
    <row r="508" spans="1:10" ht="18.75">
      <c r="A508" s="23"/>
      <c r="B508" s="23" t="s">
        <v>532</v>
      </c>
      <c r="C508" s="17" t="s">
        <v>533</v>
      </c>
      <c r="D508" s="20"/>
      <c r="E508" s="21">
        <f t="shared" ref="E508:H508" si="214">E509</f>
        <v>36078.699999999997</v>
      </c>
      <c r="F508" s="21"/>
      <c r="G508" s="22">
        <f t="shared" si="214"/>
        <v>42287.507580000005</v>
      </c>
      <c r="H508" s="21">
        <f t="shared" si="214"/>
        <v>23189.127390000001</v>
      </c>
      <c r="I508" s="21">
        <f t="shared" si="184"/>
        <v>-19098.380190000003</v>
      </c>
      <c r="J508" s="21">
        <f t="shared" si="185"/>
        <v>54.836827037229696</v>
      </c>
    </row>
    <row r="509" spans="1:10" ht="18.75">
      <c r="A509" s="23"/>
      <c r="B509" s="23" t="s">
        <v>515</v>
      </c>
      <c r="C509" s="17" t="s">
        <v>534</v>
      </c>
      <c r="D509" s="20"/>
      <c r="E509" s="21">
        <f t="shared" ref="E509" si="215">E510+E511+E512</f>
        <v>36078.699999999997</v>
      </c>
      <c r="F509" s="21"/>
      <c r="G509" s="22">
        <f t="shared" ref="G509" si="216">G510+G511+G512</f>
        <v>42287.507580000005</v>
      </c>
      <c r="H509" s="21">
        <f t="shared" ref="H509" si="217">H510+H511+H512</f>
        <v>23189.127390000001</v>
      </c>
      <c r="I509" s="21">
        <f t="shared" si="184"/>
        <v>-19098.380190000003</v>
      </c>
      <c r="J509" s="21">
        <f t="shared" si="185"/>
        <v>54.836827037229696</v>
      </c>
    </row>
    <row r="510" spans="1:10" ht="60" customHeight="1">
      <c r="A510" s="23"/>
      <c r="B510" s="23" t="s">
        <v>147</v>
      </c>
      <c r="C510" s="17" t="s">
        <v>534</v>
      </c>
      <c r="D510" s="20" t="s">
        <v>148</v>
      </c>
      <c r="E510" s="21">
        <f>30426.3</f>
        <v>30426.3</v>
      </c>
      <c r="F510" s="21"/>
      <c r="G510" s="22">
        <v>39615.834580000002</v>
      </c>
      <c r="H510" s="21">
        <v>21449.387060000001</v>
      </c>
      <c r="I510" s="21">
        <f t="shared" ref="I510:I554" si="218">H510-G510</f>
        <v>-18166.447520000002</v>
      </c>
      <c r="J510" s="21">
        <f t="shared" ref="J510:J554" si="219">H510/G510*100</f>
        <v>54.143468861384797</v>
      </c>
    </row>
    <row r="511" spans="1:10" ht="37.5">
      <c r="A511" s="23"/>
      <c r="B511" s="23" t="s">
        <v>32</v>
      </c>
      <c r="C511" s="17" t="s">
        <v>534</v>
      </c>
      <c r="D511" s="20" t="s">
        <v>149</v>
      </c>
      <c r="E511" s="21">
        <v>5160.6000000000004</v>
      </c>
      <c r="F511" s="21"/>
      <c r="G511" s="22">
        <f>2311.673-31.39</f>
        <v>2280.2829999999999</v>
      </c>
      <c r="H511" s="21">
        <v>1295.0073299999999</v>
      </c>
      <c r="I511" s="21">
        <f t="shared" si="218"/>
        <v>-985.27566999999999</v>
      </c>
      <c r="J511" s="21">
        <f t="shared" si="219"/>
        <v>56.791517982636364</v>
      </c>
    </row>
    <row r="512" spans="1:10" ht="18.75">
      <c r="A512" s="23"/>
      <c r="B512" s="23" t="s">
        <v>121</v>
      </c>
      <c r="C512" s="17" t="s">
        <v>534</v>
      </c>
      <c r="D512" s="20" t="s">
        <v>150</v>
      </c>
      <c r="E512" s="21">
        <v>491.8</v>
      </c>
      <c r="F512" s="21"/>
      <c r="G512" s="22">
        <f>360+31.39</f>
        <v>391.39</v>
      </c>
      <c r="H512" s="21">
        <v>444.733</v>
      </c>
      <c r="I512" s="21">
        <f t="shared" si="218"/>
        <v>53.343000000000018</v>
      </c>
      <c r="J512" s="21">
        <f t="shared" si="219"/>
        <v>113.62911673778073</v>
      </c>
    </row>
    <row r="513" spans="1:10" ht="56.25">
      <c r="A513" s="23"/>
      <c r="B513" s="23" t="s">
        <v>535</v>
      </c>
      <c r="C513" s="17" t="s">
        <v>536</v>
      </c>
      <c r="D513" s="20"/>
      <c r="E513" s="21"/>
      <c r="F513" s="21"/>
      <c r="G513" s="22">
        <f>G514</f>
        <v>9944.143</v>
      </c>
      <c r="H513" s="21">
        <f>H514</f>
        <v>6886.6549599999998</v>
      </c>
      <c r="I513" s="21">
        <f t="shared" si="218"/>
        <v>-3057.4880400000002</v>
      </c>
      <c r="J513" s="21">
        <f t="shared" si="219"/>
        <v>69.253378194581472</v>
      </c>
    </row>
    <row r="514" spans="1:10" ht="37.5">
      <c r="A514" s="23"/>
      <c r="B514" s="23" t="s">
        <v>364</v>
      </c>
      <c r="C514" s="17" t="s">
        <v>537</v>
      </c>
      <c r="D514" s="20"/>
      <c r="E514" s="21"/>
      <c r="F514" s="21"/>
      <c r="G514" s="22">
        <f>G515+G516+G518+G517</f>
        <v>9944.143</v>
      </c>
      <c r="H514" s="21">
        <f>H515+H516+H518+H517</f>
        <v>6886.6549599999998</v>
      </c>
      <c r="I514" s="21">
        <f t="shared" si="218"/>
        <v>-3057.4880400000002</v>
      </c>
      <c r="J514" s="21">
        <f t="shared" si="219"/>
        <v>69.253378194581472</v>
      </c>
    </row>
    <row r="515" spans="1:10" ht="55.5" customHeight="1">
      <c r="A515" s="23"/>
      <c r="B515" s="23" t="s">
        <v>147</v>
      </c>
      <c r="C515" s="17" t="s">
        <v>537</v>
      </c>
      <c r="D515" s="20">
        <v>100</v>
      </c>
      <c r="E515" s="21"/>
      <c r="F515" s="21"/>
      <c r="G515" s="22">
        <f>6341.019-949.376</f>
        <v>5391.643</v>
      </c>
      <c r="H515" s="21">
        <v>2958.53224</v>
      </c>
      <c r="I515" s="21">
        <f t="shared" si="218"/>
        <v>-2433.11076</v>
      </c>
      <c r="J515" s="21">
        <f t="shared" si="219"/>
        <v>54.872554432850983</v>
      </c>
    </row>
    <row r="516" spans="1:10" ht="37.5">
      <c r="A516" s="23"/>
      <c r="B516" s="23" t="s">
        <v>32</v>
      </c>
      <c r="C516" s="17" t="s">
        <v>537</v>
      </c>
      <c r="D516" s="20">
        <v>200</v>
      </c>
      <c r="E516" s="21"/>
      <c r="F516" s="21"/>
      <c r="G516" s="22">
        <v>4423.7</v>
      </c>
      <c r="H516" s="21">
        <v>3865.8128999999999</v>
      </c>
      <c r="I516" s="21">
        <f t="shared" si="218"/>
        <v>-557.88710000000003</v>
      </c>
      <c r="J516" s="21">
        <f t="shared" si="219"/>
        <v>87.388676899428106</v>
      </c>
    </row>
    <row r="517" spans="1:10" ht="37.5" hidden="1">
      <c r="A517" s="23"/>
      <c r="B517" s="23" t="s">
        <v>538</v>
      </c>
      <c r="C517" s="17" t="s">
        <v>537</v>
      </c>
      <c r="D517" s="20">
        <v>400</v>
      </c>
      <c r="E517" s="21"/>
      <c r="F517" s="21"/>
      <c r="G517" s="22"/>
      <c r="H517" s="21"/>
      <c r="I517" s="21">
        <f t="shared" si="218"/>
        <v>0</v>
      </c>
      <c r="J517" s="21" t="e">
        <f t="shared" si="219"/>
        <v>#DIV/0!</v>
      </c>
    </row>
    <row r="518" spans="1:10" ht="18.75">
      <c r="A518" s="23"/>
      <c r="B518" s="23" t="s">
        <v>121</v>
      </c>
      <c r="C518" s="17" t="s">
        <v>537</v>
      </c>
      <c r="D518" s="20">
        <v>800</v>
      </c>
      <c r="E518" s="21"/>
      <c r="F518" s="21"/>
      <c r="G518" s="22">
        <v>128.80000000000001</v>
      </c>
      <c r="H518" s="21">
        <v>62.309820000000002</v>
      </c>
      <c r="I518" s="21">
        <f t="shared" si="218"/>
        <v>-66.490179999999995</v>
      </c>
      <c r="J518" s="21">
        <f t="shared" si="219"/>
        <v>48.377189440993803</v>
      </c>
    </row>
    <row r="519" spans="1:10" ht="42.75" customHeight="1">
      <c r="A519" s="31">
        <v>21</v>
      </c>
      <c r="B519" s="35" t="s">
        <v>539</v>
      </c>
      <c r="C519" s="13" t="s">
        <v>540</v>
      </c>
      <c r="D519" s="14" t="s">
        <v>15</v>
      </c>
      <c r="E519" s="15" t="e">
        <f>E520+#REF!+E528+E530+E532+E537+E542+E544+E547</f>
        <v>#REF!</v>
      </c>
      <c r="F519" s="15" t="e">
        <f>F520+#REF!+F528+F530+F532+F537+F542+F544+F547</f>
        <v>#REF!</v>
      </c>
      <c r="G519" s="29">
        <f>G520+G528+G530+G532+G537+G542+G544+G547+G551+G549+G526</f>
        <v>38145.424100000004</v>
      </c>
      <c r="H519" s="15">
        <f>H520+H528+H530+H532+H537+H542+H544+H547+H552</f>
        <v>17311.31293</v>
      </c>
      <c r="I519" s="15">
        <f t="shared" si="218"/>
        <v>-20834.111170000004</v>
      </c>
      <c r="J519" s="15">
        <f t="shared" si="219"/>
        <v>45.382410442252748</v>
      </c>
    </row>
    <row r="520" spans="1:10" ht="21" customHeight="1">
      <c r="A520" s="23"/>
      <c r="B520" s="23" t="s">
        <v>541</v>
      </c>
      <c r="C520" s="17" t="s">
        <v>542</v>
      </c>
      <c r="D520" s="20" t="s">
        <v>15</v>
      </c>
      <c r="E520" s="21">
        <f t="shared" ref="E520:F520" si="220">E525</f>
        <v>8813.7999999999993</v>
      </c>
      <c r="F520" s="21">
        <f t="shared" si="220"/>
        <v>0</v>
      </c>
      <c r="G520" s="22">
        <f>G523+G524+G521+G525+G522</f>
        <v>20707.340950000002</v>
      </c>
      <c r="H520" s="21">
        <f>H523+H524+H521</f>
        <v>1381.4851000000001</v>
      </c>
      <c r="I520" s="21">
        <f t="shared" si="218"/>
        <v>-19325.85585</v>
      </c>
      <c r="J520" s="21">
        <f t="shared" si="219"/>
        <v>6.6714751224492677</v>
      </c>
    </row>
    <row r="521" spans="1:10" ht="63" customHeight="1">
      <c r="A521" s="23"/>
      <c r="B521" s="23" t="s">
        <v>147</v>
      </c>
      <c r="C521" s="17" t="s">
        <v>542</v>
      </c>
      <c r="D521" s="20">
        <v>100</v>
      </c>
      <c r="E521" s="21"/>
      <c r="F521" s="21"/>
      <c r="G521" s="22">
        <v>238.93</v>
      </c>
      <c r="H521" s="21">
        <v>368.18509999999998</v>
      </c>
      <c r="I521" s="21">
        <f t="shared" si="218"/>
        <v>129.2551</v>
      </c>
      <c r="J521" s="21">
        <f t="shared" si="219"/>
        <v>154.09747624827401</v>
      </c>
    </row>
    <row r="522" spans="1:10" ht="39" customHeight="1">
      <c r="A522" s="23"/>
      <c r="B522" s="23" t="s">
        <v>32</v>
      </c>
      <c r="C522" s="17" t="s">
        <v>542</v>
      </c>
      <c r="D522" s="20">
        <v>200</v>
      </c>
      <c r="E522" s="21"/>
      <c r="F522" s="21"/>
      <c r="G522" s="22">
        <v>16.7</v>
      </c>
      <c r="H522" s="21"/>
      <c r="I522" s="21"/>
      <c r="J522" s="21"/>
    </row>
    <row r="523" spans="1:10" ht="18.75">
      <c r="A523" s="23"/>
      <c r="B523" s="23" t="s">
        <v>45</v>
      </c>
      <c r="C523" s="17" t="s">
        <v>542</v>
      </c>
      <c r="D523" s="20">
        <v>300</v>
      </c>
      <c r="E523" s="21"/>
      <c r="F523" s="21"/>
      <c r="G523" s="22">
        <f>11300+3600+1200</f>
        <v>16100</v>
      </c>
      <c r="H523" s="21">
        <v>13.3</v>
      </c>
      <c r="I523" s="21">
        <f t="shared" si="218"/>
        <v>-16086.7</v>
      </c>
      <c r="J523" s="21">
        <f t="shared" si="219"/>
        <v>8.2608695652173922E-2</v>
      </c>
    </row>
    <row r="524" spans="1:10" ht="21.75" customHeight="1">
      <c r="A524" s="23"/>
      <c r="B524" s="23" t="s">
        <v>278</v>
      </c>
      <c r="C524" s="17" t="s">
        <v>542</v>
      </c>
      <c r="D524" s="20">
        <v>500</v>
      </c>
      <c r="E524" s="21"/>
      <c r="F524" s="21"/>
      <c r="G524" s="22">
        <f>784.72+400+81</f>
        <v>1265.72</v>
      </c>
      <c r="H524" s="21">
        <v>1000</v>
      </c>
      <c r="I524" s="21">
        <f t="shared" si="218"/>
        <v>-265.72000000000003</v>
      </c>
      <c r="J524" s="21">
        <f t="shared" si="219"/>
        <v>79.006415320924063</v>
      </c>
    </row>
    <row r="525" spans="1:10" ht="18" customHeight="1">
      <c r="A525" s="23"/>
      <c r="B525" s="23" t="s">
        <v>121</v>
      </c>
      <c r="C525" s="17" t="s">
        <v>542</v>
      </c>
      <c r="D525" s="20" t="s">
        <v>150</v>
      </c>
      <c r="E525" s="21">
        <f>5300+3513.8</f>
        <v>8813.7999999999993</v>
      </c>
      <c r="F525" s="21"/>
      <c r="G525" s="22">
        <f>2361.07-200+5880.37017+2016.12983-5727.92+7400+30-7529.65+55.99095-1200</f>
        <v>3085.9909500000003</v>
      </c>
      <c r="H525" s="21">
        <v>0</v>
      </c>
      <c r="I525" s="21">
        <f t="shared" si="218"/>
        <v>-3085.9909500000003</v>
      </c>
      <c r="J525" s="21">
        <f t="shared" si="219"/>
        <v>0</v>
      </c>
    </row>
    <row r="526" spans="1:10" ht="42.75" hidden="1" customHeight="1">
      <c r="A526" s="23"/>
      <c r="B526" s="5" t="s">
        <v>543</v>
      </c>
      <c r="C526" s="17" t="s">
        <v>544</v>
      </c>
      <c r="D526" s="20"/>
      <c r="E526" s="21"/>
      <c r="F526" s="21"/>
      <c r="G526" s="22">
        <f>G527</f>
        <v>0</v>
      </c>
      <c r="H526" s="21"/>
      <c r="I526" s="21"/>
      <c r="J526" s="21"/>
    </row>
    <row r="527" spans="1:10" ht="18" hidden="1" customHeight="1">
      <c r="A527" s="23"/>
      <c r="B527" s="23" t="s">
        <v>45</v>
      </c>
      <c r="C527" s="17" t="s">
        <v>544</v>
      </c>
      <c r="D527" s="20">
        <v>300</v>
      </c>
      <c r="E527" s="21"/>
      <c r="F527" s="21"/>
      <c r="G527" s="22">
        <f>426.42224-426.42224</f>
        <v>0</v>
      </c>
      <c r="H527" s="21"/>
      <c r="I527" s="21"/>
      <c r="J527" s="21"/>
    </row>
    <row r="528" spans="1:10" ht="18.75">
      <c r="A528" s="23"/>
      <c r="B528" s="23" t="s">
        <v>545</v>
      </c>
      <c r="C528" s="17" t="s">
        <v>546</v>
      </c>
      <c r="D528" s="20"/>
      <c r="E528" s="21">
        <f t="shared" ref="E528:H528" si="221">E529</f>
        <v>7254.3</v>
      </c>
      <c r="F528" s="21">
        <f t="shared" si="221"/>
        <v>0</v>
      </c>
      <c r="G528" s="22">
        <f t="shared" si="221"/>
        <v>9442.5470000000005</v>
      </c>
      <c r="H528" s="21">
        <f t="shared" si="221"/>
        <v>6194.1259</v>
      </c>
      <c r="I528" s="21">
        <f t="shared" si="218"/>
        <v>-3248.4211</v>
      </c>
      <c r="J528" s="21">
        <f t="shared" si="219"/>
        <v>65.598041502997006</v>
      </c>
    </row>
    <row r="529" spans="1:10" ht="18.75">
      <c r="A529" s="23"/>
      <c r="B529" s="23" t="s">
        <v>45</v>
      </c>
      <c r="C529" s="17" t="s">
        <v>546</v>
      </c>
      <c r="D529" s="20">
        <v>300</v>
      </c>
      <c r="E529" s="21">
        <v>7254.3</v>
      </c>
      <c r="F529" s="21"/>
      <c r="G529" s="22">
        <v>9442.5470000000005</v>
      </c>
      <c r="H529" s="21">
        <v>6194.1259</v>
      </c>
      <c r="I529" s="21">
        <f t="shared" si="218"/>
        <v>-3248.4211</v>
      </c>
      <c r="J529" s="21">
        <f t="shared" si="219"/>
        <v>65.598041502997006</v>
      </c>
    </row>
    <row r="530" spans="1:10" ht="23.25" customHeight="1">
      <c r="A530" s="23"/>
      <c r="B530" s="23" t="s">
        <v>547</v>
      </c>
      <c r="C530" s="17" t="s">
        <v>548</v>
      </c>
      <c r="D530" s="20"/>
      <c r="E530" s="21">
        <f t="shared" ref="E530:H530" si="222">E531</f>
        <v>2500</v>
      </c>
      <c r="F530" s="21">
        <f t="shared" si="222"/>
        <v>0</v>
      </c>
      <c r="G530" s="22">
        <f t="shared" si="222"/>
        <v>6300</v>
      </c>
      <c r="H530" s="21">
        <f t="shared" si="222"/>
        <v>3017.9</v>
      </c>
      <c r="I530" s="21">
        <f t="shared" si="218"/>
        <v>-3282.1</v>
      </c>
      <c r="J530" s="21">
        <f t="shared" si="219"/>
        <v>47.903174603174598</v>
      </c>
    </row>
    <row r="531" spans="1:10" ht="18.75">
      <c r="A531" s="23"/>
      <c r="B531" s="23" t="s">
        <v>121</v>
      </c>
      <c r="C531" s="17" t="s">
        <v>548</v>
      </c>
      <c r="D531" s="20">
        <v>800</v>
      </c>
      <c r="E531" s="21">
        <v>2500</v>
      </c>
      <c r="F531" s="21"/>
      <c r="G531" s="22">
        <v>6300</v>
      </c>
      <c r="H531" s="21">
        <v>3017.9</v>
      </c>
      <c r="I531" s="21">
        <f t="shared" si="218"/>
        <v>-3282.1</v>
      </c>
      <c r="J531" s="21">
        <f t="shared" si="219"/>
        <v>47.903174603174598</v>
      </c>
    </row>
    <row r="532" spans="1:10" ht="22.5" customHeight="1">
      <c r="A532" s="23"/>
      <c r="B532" s="23" t="s">
        <v>549</v>
      </c>
      <c r="C532" s="17" t="s">
        <v>550</v>
      </c>
      <c r="D532" s="20"/>
      <c r="E532" s="21">
        <f t="shared" ref="E532:F532" si="223">E534</f>
        <v>1100</v>
      </c>
      <c r="F532" s="21">
        <f t="shared" si="223"/>
        <v>0</v>
      </c>
      <c r="G532" s="22">
        <f>G533+G535</f>
        <v>142.6</v>
      </c>
      <c r="H532" s="21">
        <f>H534+H535</f>
        <v>4007.2421300000001</v>
      </c>
      <c r="I532" s="21">
        <f t="shared" si="218"/>
        <v>3864.6421300000002</v>
      </c>
      <c r="J532" s="21">
        <f t="shared" si="219"/>
        <v>2810.1277208976162</v>
      </c>
    </row>
    <row r="533" spans="1:10" ht="40.5" customHeight="1">
      <c r="A533" s="23"/>
      <c r="B533" s="16" t="s">
        <v>551</v>
      </c>
      <c r="C533" s="36" t="s">
        <v>552</v>
      </c>
      <c r="D533" s="20"/>
      <c r="E533" s="21"/>
      <c r="F533" s="21"/>
      <c r="G533" s="22">
        <f>G534</f>
        <v>142.6</v>
      </c>
      <c r="H533" s="21"/>
      <c r="I533" s="21"/>
      <c r="J533" s="21"/>
    </row>
    <row r="534" spans="1:10" ht="37.5">
      <c r="A534" s="23"/>
      <c r="B534" s="37" t="s">
        <v>32</v>
      </c>
      <c r="C534" s="17" t="s">
        <v>552</v>
      </c>
      <c r="D534" s="20">
        <v>200</v>
      </c>
      <c r="E534" s="21">
        <f>500+600</f>
        <v>1100</v>
      </c>
      <c r="F534" s="21"/>
      <c r="G534" s="22">
        <f>150-7.4</f>
        <v>142.6</v>
      </c>
      <c r="H534" s="21">
        <v>45</v>
      </c>
      <c r="I534" s="21">
        <f t="shared" si="218"/>
        <v>-97.6</v>
      </c>
      <c r="J534" s="21">
        <f t="shared" si="219"/>
        <v>31.556802244039272</v>
      </c>
    </row>
    <row r="535" spans="1:10" ht="38.25" hidden="1" customHeight="1">
      <c r="A535" s="23"/>
      <c r="B535" s="23" t="s">
        <v>553</v>
      </c>
      <c r="C535" s="17" t="s">
        <v>554</v>
      </c>
      <c r="D535" s="20"/>
      <c r="E535" s="21"/>
      <c r="F535" s="21"/>
      <c r="G535" s="22">
        <f>G536</f>
        <v>0</v>
      </c>
      <c r="H535" s="21">
        <f>H536</f>
        <v>3962.2421300000001</v>
      </c>
      <c r="I535" s="21">
        <f t="shared" si="218"/>
        <v>3962.2421300000001</v>
      </c>
      <c r="J535" s="21" t="e">
        <f t="shared" si="219"/>
        <v>#DIV/0!</v>
      </c>
    </row>
    <row r="536" spans="1:10" ht="37.5" hidden="1">
      <c r="A536" s="23"/>
      <c r="B536" s="23" t="s">
        <v>32</v>
      </c>
      <c r="C536" s="17" t="s">
        <v>554</v>
      </c>
      <c r="D536" s="20">
        <v>200</v>
      </c>
      <c r="E536" s="21"/>
      <c r="F536" s="21"/>
      <c r="G536" s="22">
        <v>0</v>
      </c>
      <c r="H536" s="21">
        <v>3962.2421300000001</v>
      </c>
      <c r="I536" s="21">
        <f t="shared" si="218"/>
        <v>3962.2421300000001</v>
      </c>
      <c r="J536" s="21" t="e">
        <f t="shared" si="219"/>
        <v>#DIV/0!</v>
      </c>
    </row>
    <row r="537" spans="1:10" ht="22.5" customHeight="1">
      <c r="A537" s="23"/>
      <c r="B537" s="23" t="s">
        <v>555</v>
      </c>
      <c r="C537" s="17" t="s">
        <v>556</v>
      </c>
      <c r="D537" s="20"/>
      <c r="E537" s="21">
        <f t="shared" ref="E537:H538" si="224">E538</f>
        <v>746.3</v>
      </c>
      <c r="F537" s="21">
        <f t="shared" si="224"/>
        <v>0</v>
      </c>
      <c r="G537" s="22">
        <f>G538+G540</f>
        <v>838.6</v>
      </c>
      <c r="H537" s="21">
        <f>H538+H540</f>
        <v>1768.8122599999999</v>
      </c>
      <c r="I537" s="21">
        <f t="shared" si="218"/>
        <v>930.21226000000001</v>
      </c>
      <c r="J537" s="21">
        <f t="shared" si="219"/>
        <v>210.92442880992101</v>
      </c>
    </row>
    <row r="538" spans="1:10" ht="37.5" hidden="1">
      <c r="A538" s="23"/>
      <c r="B538" s="23" t="s">
        <v>557</v>
      </c>
      <c r="C538" s="17" t="s">
        <v>558</v>
      </c>
      <c r="D538" s="20"/>
      <c r="E538" s="21">
        <f t="shared" si="224"/>
        <v>746.3</v>
      </c>
      <c r="F538" s="21">
        <f t="shared" si="224"/>
        <v>0</v>
      </c>
      <c r="G538" s="22">
        <f t="shared" si="224"/>
        <v>0</v>
      </c>
      <c r="H538" s="21">
        <f t="shared" si="224"/>
        <v>1234.57293</v>
      </c>
      <c r="I538" s="21">
        <f t="shared" si="218"/>
        <v>1234.57293</v>
      </c>
      <c r="J538" s="21" t="e">
        <f t="shared" si="219"/>
        <v>#DIV/0!</v>
      </c>
    </row>
    <row r="539" spans="1:10" ht="18.75" hidden="1">
      <c r="A539" s="23"/>
      <c r="B539" s="23" t="s">
        <v>121</v>
      </c>
      <c r="C539" s="17" t="s">
        <v>558</v>
      </c>
      <c r="D539" s="20">
        <v>800</v>
      </c>
      <c r="E539" s="21">
        <v>746.3</v>
      </c>
      <c r="F539" s="21"/>
      <c r="G539" s="22">
        <v>0</v>
      </c>
      <c r="H539" s="21">
        <v>1234.57293</v>
      </c>
      <c r="I539" s="21">
        <f t="shared" si="218"/>
        <v>1234.57293</v>
      </c>
      <c r="J539" s="21" t="e">
        <f t="shared" si="219"/>
        <v>#DIV/0!</v>
      </c>
    </row>
    <row r="540" spans="1:10" ht="37.5">
      <c r="A540" s="23"/>
      <c r="B540" s="23" t="s">
        <v>559</v>
      </c>
      <c r="C540" s="17" t="s">
        <v>560</v>
      </c>
      <c r="D540" s="20"/>
      <c r="E540" s="21"/>
      <c r="F540" s="21"/>
      <c r="G540" s="22">
        <f>G541</f>
        <v>838.6</v>
      </c>
      <c r="H540" s="21">
        <f>H541</f>
        <v>534.23933</v>
      </c>
      <c r="I540" s="21">
        <f t="shared" si="218"/>
        <v>-304.36067000000003</v>
      </c>
      <c r="J540" s="21">
        <f t="shared" si="219"/>
        <v>63.706097066539499</v>
      </c>
    </row>
    <row r="541" spans="1:10" ht="18.75">
      <c r="A541" s="23"/>
      <c r="B541" s="23" t="s">
        <v>121</v>
      </c>
      <c r="C541" s="17" t="s">
        <v>560</v>
      </c>
      <c r="D541" s="20">
        <v>800</v>
      </c>
      <c r="E541" s="21"/>
      <c r="F541" s="21"/>
      <c r="G541" s="22">
        <v>838.6</v>
      </c>
      <c r="H541" s="21">
        <v>534.23933</v>
      </c>
      <c r="I541" s="21">
        <f t="shared" si="218"/>
        <v>-304.36067000000003</v>
      </c>
      <c r="J541" s="21">
        <f t="shared" si="219"/>
        <v>63.706097066539499</v>
      </c>
    </row>
    <row r="542" spans="1:10" ht="37.5">
      <c r="A542" s="23"/>
      <c r="B542" s="23" t="s">
        <v>561</v>
      </c>
      <c r="C542" s="17" t="s">
        <v>562</v>
      </c>
      <c r="D542" s="20"/>
      <c r="E542" s="21">
        <f t="shared" ref="E542:H542" si="225">E543</f>
        <v>324.8</v>
      </c>
      <c r="F542" s="21">
        <f t="shared" si="225"/>
        <v>0</v>
      </c>
      <c r="G542" s="22">
        <f t="shared" si="225"/>
        <v>459.9</v>
      </c>
      <c r="H542" s="21">
        <f t="shared" si="225"/>
        <v>336.44319999999999</v>
      </c>
      <c r="I542" s="21">
        <f t="shared" si="218"/>
        <v>-123.4568</v>
      </c>
      <c r="J542" s="21">
        <f t="shared" si="219"/>
        <v>73.155729506414403</v>
      </c>
    </row>
    <row r="543" spans="1:10" ht="39.75" customHeight="1">
      <c r="A543" s="23"/>
      <c r="B543" s="23" t="s">
        <v>32</v>
      </c>
      <c r="C543" s="17" t="s">
        <v>562</v>
      </c>
      <c r="D543" s="20">
        <v>200</v>
      </c>
      <c r="E543" s="21">
        <v>324.8</v>
      </c>
      <c r="F543" s="21"/>
      <c r="G543" s="22">
        <v>459.9</v>
      </c>
      <c r="H543" s="21">
        <v>336.44319999999999</v>
      </c>
      <c r="I543" s="21">
        <f t="shared" si="218"/>
        <v>-123.4568</v>
      </c>
      <c r="J543" s="21">
        <f t="shared" si="219"/>
        <v>73.155729506414403</v>
      </c>
    </row>
    <row r="544" spans="1:10" ht="24" hidden="1" customHeight="1">
      <c r="A544" s="23"/>
      <c r="B544" s="23" t="s">
        <v>563</v>
      </c>
      <c r="C544" s="17" t="s">
        <v>564</v>
      </c>
      <c r="D544" s="20"/>
      <c r="E544" s="21">
        <f>E545</f>
        <v>30</v>
      </c>
      <c r="F544" s="21">
        <f t="shared" ref="F544:H544" si="226">F545</f>
        <v>0</v>
      </c>
      <c r="G544" s="22">
        <f t="shared" si="226"/>
        <v>0</v>
      </c>
      <c r="H544" s="21">
        <f t="shared" si="226"/>
        <v>0</v>
      </c>
      <c r="I544" s="21">
        <f t="shared" si="218"/>
        <v>0</v>
      </c>
      <c r="J544" s="21" t="e">
        <f t="shared" si="219"/>
        <v>#DIV/0!</v>
      </c>
    </row>
    <row r="545" spans="1:16" ht="37.5" hidden="1">
      <c r="A545" s="23"/>
      <c r="B545" s="23" t="s">
        <v>565</v>
      </c>
      <c r="C545" s="17" t="s">
        <v>566</v>
      </c>
      <c r="D545" s="20"/>
      <c r="E545" s="21">
        <f t="shared" ref="E545:H545" si="227">E546</f>
        <v>30</v>
      </c>
      <c r="F545" s="21">
        <f t="shared" si="227"/>
        <v>0</v>
      </c>
      <c r="G545" s="22">
        <f t="shared" si="227"/>
        <v>0</v>
      </c>
      <c r="H545" s="21">
        <f t="shared" si="227"/>
        <v>0</v>
      </c>
      <c r="I545" s="21">
        <f t="shared" si="218"/>
        <v>0</v>
      </c>
      <c r="J545" s="21" t="e">
        <f t="shared" si="219"/>
        <v>#DIV/0!</v>
      </c>
    </row>
    <row r="546" spans="1:16" ht="37.5" hidden="1">
      <c r="A546" s="23"/>
      <c r="B546" s="23" t="s">
        <v>20</v>
      </c>
      <c r="C546" s="17" t="s">
        <v>566</v>
      </c>
      <c r="D546" s="20">
        <v>600</v>
      </c>
      <c r="E546" s="21">
        <v>30</v>
      </c>
      <c r="F546" s="21"/>
      <c r="G546" s="22">
        <v>0</v>
      </c>
      <c r="H546" s="21">
        <v>0</v>
      </c>
      <c r="I546" s="21">
        <f t="shared" si="218"/>
        <v>0</v>
      </c>
      <c r="J546" s="21" t="e">
        <f t="shared" si="219"/>
        <v>#DIV/0!</v>
      </c>
    </row>
    <row r="547" spans="1:16" ht="37.5">
      <c r="A547" s="23"/>
      <c r="B547" s="23" t="s">
        <v>567</v>
      </c>
      <c r="C547" s="17" t="s">
        <v>568</v>
      </c>
      <c r="D547" s="20"/>
      <c r="E547" s="21">
        <f>E548</f>
        <v>526.20000000000005</v>
      </c>
      <c r="F547" s="21"/>
      <c r="G547" s="22">
        <f>G548</f>
        <v>254.43615</v>
      </c>
      <c r="H547" s="21">
        <f>H548</f>
        <v>605.30434000000002</v>
      </c>
      <c r="I547" s="21">
        <f t="shared" si="218"/>
        <v>350.86819000000003</v>
      </c>
      <c r="J547" s="21">
        <f t="shared" si="219"/>
        <v>237.90029050510299</v>
      </c>
      <c r="O547" s="33"/>
    </row>
    <row r="548" spans="1:16" ht="37.5">
      <c r="A548" s="23"/>
      <c r="B548" s="38" t="s">
        <v>32</v>
      </c>
      <c r="C548" s="17" t="s">
        <v>568</v>
      </c>
      <c r="D548" s="20">
        <v>200</v>
      </c>
      <c r="E548" s="21">
        <v>526.20000000000005</v>
      </c>
      <c r="F548" s="21"/>
      <c r="G548" s="22">
        <v>254.43615</v>
      </c>
      <c r="H548" s="21">
        <v>605.30434000000002</v>
      </c>
      <c r="I548" s="21">
        <f t="shared" si="218"/>
        <v>350.86819000000003</v>
      </c>
      <c r="J548" s="21">
        <f t="shared" si="219"/>
        <v>237.90029050510299</v>
      </c>
    </row>
    <row r="549" spans="1:16" ht="37.5" hidden="1">
      <c r="A549" s="23"/>
      <c r="B549" s="16" t="s">
        <v>569</v>
      </c>
      <c r="C549" s="36" t="s">
        <v>570</v>
      </c>
      <c r="D549" s="20"/>
      <c r="E549" s="21"/>
      <c r="F549" s="21"/>
      <c r="G549" s="22">
        <f>G550</f>
        <v>0</v>
      </c>
      <c r="H549" s="21"/>
      <c r="I549" s="21"/>
      <c r="J549" s="21"/>
    </row>
    <row r="550" spans="1:16" ht="18.75" hidden="1">
      <c r="A550" s="23"/>
      <c r="B550" s="37" t="s">
        <v>121</v>
      </c>
      <c r="C550" s="17" t="s">
        <v>570</v>
      </c>
      <c r="D550" s="20">
        <v>800</v>
      </c>
      <c r="E550" s="21"/>
      <c r="F550" s="21"/>
      <c r="G550" s="22">
        <v>0</v>
      </c>
      <c r="H550" s="21"/>
      <c r="I550" s="21"/>
      <c r="J550" s="21"/>
    </row>
    <row r="551" spans="1:16" ht="37.5" hidden="1">
      <c r="A551" s="23"/>
      <c r="B551" s="23" t="s">
        <v>571</v>
      </c>
      <c r="C551" s="17" t="s">
        <v>572</v>
      </c>
      <c r="D551" s="20"/>
      <c r="E551" s="21"/>
      <c r="F551" s="21"/>
      <c r="G551" s="22">
        <f>G552</f>
        <v>0</v>
      </c>
      <c r="H551" s="21"/>
      <c r="I551" s="21"/>
      <c r="J551" s="21"/>
    </row>
    <row r="552" spans="1:16" ht="37.5" hidden="1">
      <c r="A552" s="23"/>
      <c r="B552" s="5" t="s">
        <v>573</v>
      </c>
      <c r="C552" s="17" t="s">
        <v>574</v>
      </c>
      <c r="D552" s="20"/>
      <c r="E552" s="21"/>
      <c r="F552" s="21"/>
      <c r="G552" s="22">
        <f>G553</f>
        <v>0</v>
      </c>
      <c r="H552" s="21">
        <f>H553</f>
        <v>0</v>
      </c>
      <c r="I552" s="21">
        <f t="shared" si="218"/>
        <v>0</v>
      </c>
      <c r="J552" s="21" t="e">
        <f t="shared" si="219"/>
        <v>#DIV/0!</v>
      </c>
    </row>
    <row r="553" spans="1:16" ht="18.75" hidden="1">
      <c r="A553" s="23"/>
      <c r="B553" s="23" t="s">
        <v>278</v>
      </c>
      <c r="C553" s="17" t="s">
        <v>574</v>
      </c>
      <c r="D553" s="20">
        <v>500</v>
      </c>
      <c r="E553" s="21"/>
      <c r="F553" s="21"/>
      <c r="G553" s="22">
        <v>0</v>
      </c>
      <c r="H553" s="21">
        <v>0</v>
      </c>
      <c r="I553" s="21">
        <f t="shared" si="218"/>
        <v>0</v>
      </c>
      <c r="J553" s="21" t="e">
        <f t="shared" si="219"/>
        <v>#DIV/0!</v>
      </c>
    </row>
    <row r="554" spans="1:16" ht="18.75">
      <c r="A554" s="23"/>
      <c r="B554" s="31" t="s">
        <v>575</v>
      </c>
      <c r="C554" s="13" t="s">
        <v>15</v>
      </c>
      <c r="D554" s="14" t="s">
        <v>15</v>
      </c>
      <c r="E554" s="15" t="e">
        <f>E7+E140+E257+E262+E279+E287+E294+E305+E336+E362+E366+E378+E386+E394+E408+E420+E430+E519</f>
        <v>#REF!</v>
      </c>
      <c r="F554" s="15" t="e">
        <f>F7+F140+F257+F262+F279+F287+F294+F305+F336+F362+F366+F378+F386+F394+F408+F420+F430+F519</f>
        <v>#REF!</v>
      </c>
      <c r="G554" s="15">
        <f>G7+G140+G331+G257+G262+G279+G287+G294+G305+G336+G362+G366+G378+G383+G386+G394+G408+G420+G430+G519+G350+G411</f>
        <v>1097861.9965099997</v>
      </c>
      <c r="H554" s="15" t="e">
        <f>H7+H140+H331+H257+H262+H279+H287+H294+H305+H336+H362+H366+H378+H383+H386+H394+H408+H420+H430+H519+H350+H411</f>
        <v>#REF!</v>
      </c>
      <c r="I554" s="15" t="e">
        <f t="shared" si="218"/>
        <v>#REF!</v>
      </c>
      <c r="J554" s="15" t="e">
        <f t="shared" si="219"/>
        <v>#REF!</v>
      </c>
      <c r="N554" s="33"/>
    </row>
    <row r="555" spans="1:16" ht="0.75" customHeight="1"/>
    <row r="557" spans="1:16" ht="31.5">
      <c r="B557" s="1" t="s">
        <v>576</v>
      </c>
      <c r="G557" s="39" t="s">
        <v>577</v>
      </c>
      <c r="H557" s="40"/>
      <c r="I557" s="40"/>
      <c r="J557" s="40"/>
      <c r="K557" s="40"/>
      <c r="L557" s="40"/>
      <c r="M557" s="41"/>
      <c r="N557" s="40"/>
      <c r="O557" s="40"/>
      <c r="P557" s="40"/>
    </row>
  </sheetData>
  <autoFilter ref="A6:J554"/>
  <mergeCells count="5">
    <mergeCell ref="C1:G1"/>
    <mergeCell ref="C2:G2"/>
    <mergeCell ref="A3:J3"/>
    <mergeCell ref="B4:D4"/>
    <mergeCell ref="A5:J5"/>
  </mergeCells>
  <pageMargins left="0.70833333333333304" right="0.70833333333333304" top="0.156944444444444" bottom="0.35416666666666702" header="0.31458333333333299" footer="0.31458333333333299"/>
  <pageSetup paperSize="9" scale="55" fitToHeight="11" orientation="portrait" useFirstPageNumber="1" r:id="rId1"/>
  <headerFooter>
    <oddHeader>&amp;CСтраница &amp;P</oddHeader>
  </headerFooter>
  <rowBreaks count="4" manualBreakCount="4">
    <brk id="89" max="6" man="1"/>
    <brk id="258" max="6" man="1"/>
    <brk id="407" max="6" man="1"/>
    <brk id="46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 1</vt:lpstr>
      <vt:lpstr>Лист1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Support764</cp:lastModifiedBy>
  <cp:lastPrinted>2024-11-13T09:44:00Z</cp:lastPrinted>
  <dcterms:created xsi:type="dcterms:W3CDTF">2006-09-16T00:00:00Z</dcterms:created>
  <dcterms:modified xsi:type="dcterms:W3CDTF">2024-12-25T09:02:57Z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84D0072F0AF14C54A18AA6396F7FD5A0_12</vt:lpwstr>
  </property>
  <property fmtid="{D5CDD505-2E9C-101B-9397-08002B2CF9AE}" pid="3" name="KSOProductBuildVer">
    <vt:lpwstr>1049-12.2.0.19307</vt:lpwstr>
  </property>
</Properties>
</file>